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omments3.xml" ContentType="application/vnd.openxmlformats-officedocument.spreadsheetml.comments+xml"/>
  <Override PartName="/xl/charts/chart7.xml" ContentType="application/vnd.openxmlformats-officedocument.drawingml.chart+xml"/>
  <Override PartName="/xl/charts/chart8.xml" ContentType="application/vnd.openxmlformats-officedocument.drawingml.chart+xml"/>
  <Override PartName="/xl/drawings/drawing7.xml" ContentType="application/vnd.openxmlformats-officedocument.drawing+xml"/>
  <Override PartName="/xl/charts/chart9.xml" ContentType="application/vnd.openxmlformats-officedocument.drawingml.chart+xml"/>
  <Override PartName="/xl/drawings/drawing8.xml" ContentType="application/vnd.openxmlformats-officedocument.drawing+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drawings/drawing10.xml" ContentType="application/vnd.openxmlformats-officedocument.drawing+xml"/>
  <Override PartName="/xl/charts/chart12.xml" ContentType="application/vnd.openxmlformats-officedocument.drawingml.chart+xml"/>
  <Override PartName="/xl/drawings/drawing11.xml" ContentType="application/vnd.openxmlformats-officedocument.drawing+xml"/>
  <Override PartName="/xl/charts/chart13.xml" ContentType="application/vnd.openxmlformats-officedocument.drawingml.chart+xml"/>
  <Override PartName="/xl/drawings/drawing12.xml" ContentType="application/vnd.openxmlformats-officedocument.drawing+xml"/>
  <Override PartName="/xl/charts/chart14.xml" ContentType="application/vnd.openxmlformats-officedocument.drawingml.chart+xml"/>
  <Override PartName="/xl/drawings/drawing13.xml" ContentType="application/vnd.openxmlformats-officedocument.drawing+xml"/>
  <Override PartName="/xl/charts/chart15.xml" ContentType="application/vnd.openxmlformats-officedocument.drawingml.chart+xml"/>
  <Override PartName="/xl/drawings/drawing14.xml" ContentType="application/vnd.openxmlformats-officedocument.drawing+xml"/>
  <Override PartName="/xl/charts/chart16.xml" ContentType="application/vnd.openxmlformats-officedocument.drawingml.chart+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xml"/>
  <Override PartName="/xl/charts/chart18.xml" ContentType="application/vnd.openxmlformats-officedocument.drawingml.chart+xml"/>
  <Override PartName="/xl/drawings/drawing17.xml" ContentType="application/vnd.openxmlformats-officedocument.drawing+xml"/>
  <Override PartName="/xl/charts/chart19.xml" ContentType="application/vnd.openxmlformats-officedocument.drawingml.chart+xml"/>
  <Override PartName="/xl/drawings/drawing18.xml" ContentType="application/vnd.openxmlformats-officedocument.drawing+xml"/>
  <Override PartName="/xl/charts/chart20.xml" ContentType="application/vnd.openxmlformats-officedocument.drawingml.chart+xml"/>
  <Override PartName="/xl/drawings/drawing19.xml" ContentType="application/vnd.openxmlformats-officedocument.drawing+xml"/>
  <Override PartName="/xl/charts/chart21.xml" ContentType="application/vnd.openxmlformats-officedocument.drawingml.chart+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7729"/>
  <workbookPr filterPrivacy="1" autoCompressPictures="0"/>
  <bookViews>
    <workbookView xWindow="40" yWindow="0" windowWidth="25060" windowHeight="15600" tabRatio="699" activeTab="3"/>
  </bookViews>
  <sheets>
    <sheet name="READ ME!" sheetId="18" r:id="rId1"/>
    <sheet name="Planform Geometry" sheetId="17" r:id="rId2"/>
    <sheet name="Twist and Trim" sheetId="16" r:id="rId3"/>
    <sheet name="Airfoil Interpolation" sheetId="15" r:id="rId4"/>
    <sheet name="Loft Viewer" sheetId="14" r:id="rId5"/>
    <sheet name="Root" sheetId="1" r:id="rId6"/>
    <sheet name="2" sheetId="2" r:id="rId7"/>
    <sheet name="3" sheetId="3" r:id="rId8"/>
    <sheet name="4" sheetId="4" r:id="rId9"/>
    <sheet name="5" sheetId="5" r:id="rId10"/>
    <sheet name="6" sheetId="6" r:id="rId11"/>
    <sheet name="7" sheetId="7" r:id="rId12"/>
    <sheet name="8" sheetId="8" r:id="rId13"/>
    <sheet name="9" sheetId="9" r:id="rId14"/>
    <sheet name="10" sheetId="10" r:id="rId15"/>
    <sheet name="11" sheetId="11" r:id="rId16"/>
    <sheet name="12" sheetId="12" r:id="rId17"/>
    <sheet name="Tip" sheetId="13" r:id="rId18"/>
    <sheet name="Airfoil database" sheetId="19" r:id="rId19"/>
  </sheet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B28" i="17" l="1"/>
  <c r="U5" i="16"/>
  <c r="U6" i="16"/>
  <c r="W32" i="17"/>
  <c r="W34" i="17"/>
  <c r="B3" i="13"/>
  <c r="B4" i="13"/>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2"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2" i="13"/>
  <c r="F18" i="16"/>
  <c r="F78" i="16"/>
  <c r="G78" i="16"/>
  <c r="H78" i="16"/>
  <c r="I78" i="16"/>
  <c r="J78" i="16"/>
  <c r="K78" i="16"/>
  <c r="L78" i="16"/>
  <c r="M78" i="16"/>
  <c r="N78" i="16"/>
  <c r="O78" i="16"/>
  <c r="P78" i="16"/>
  <c r="Q78" i="16"/>
  <c r="R78" i="16"/>
  <c r="G33" i="16"/>
  <c r="G93" i="16"/>
  <c r="F22" i="16"/>
  <c r="F82" i="16"/>
  <c r="G82" i="16"/>
  <c r="H82" i="16"/>
  <c r="I82" i="16"/>
  <c r="J82" i="16"/>
  <c r="K82" i="16"/>
  <c r="L82" i="16"/>
  <c r="M82" i="16"/>
  <c r="N82" i="16"/>
  <c r="O82" i="16"/>
  <c r="P82" i="16"/>
  <c r="Q82" i="16"/>
  <c r="R82" i="16"/>
  <c r="R47" i="16"/>
  <c r="R107" i="16"/>
  <c r="F47" i="16"/>
  <c r="F107" i="16"/>
  <c r="F12" i="16"/>
  <c r="F73" i="16"/>
  <c r="F74" i="16"/>
  <c r="G74" i="16"/>
  <c r="H74" i="16"/>
  <c r="I74" i="16"/>
  <c r="J74" i="16"/>
  <c r="K74" i="16"/>
  <c r="L74" i="16"/>
  <c r="M74" i="16"/>
  <c r="N74" i="16"/>
  <c r="O74" i="16"/>
  <c r="P74" i="16"/>
  <c r="Q74" i="16"/>
  <c r="R74" i="16"/>
  <c r="J2" i="1"/>
  <c r="J2" i="13"/>
  <c r="J2" i="12"/>
  <c r="J2" i="11"/>
  <c r="J2" i="10"/>
  <c r="J2" i="9"/>
  <c r="J2" i="8"/>
  <c r="J2" i="7"/>
  <c r="J2" i="6"/>
  <c r="J2" i="5"/>
  <c r="J2" i="4"/>
  <c r="J2" i="3"/>
  <c r="J2" i="2"/>
  <c r="F15" i="16"/>
  <c r="F76" i="16"/>
  <c r="G76" i="16"/>
  <c r="U7" i="16"/>
  <c r="H76" i="16"/>
  <c r="F34" i="16"/>
  <c r="F3" i="16"/>
  <c r="G22" i="16"/>
  <c r="H22" i="16"/>
  <c r="I22" i="16"/>
  <c r="J22" i="16"/>
  <c r="K22" i="16"/>
  <c r="L22" i="16"/>
  <c r="M22" i="16"/>
  <c r="N22" i="16"/>
  <c r="G18" i="16"/>
  <c r="H18" i="16"/>
  <c r="I18" i="16"/>
  <c r="J18" i="16"/>
  <c r="K18" i="16"/>
  <c r="L18" i="16"/>
  <c r="M18" i="16"/>
  <c r="N18" i="16"/>
  <c r="O18" i="16"/>
  <c r="P18" i="16"/>
  <c r="Q18" i="16"/>
  <c r="R18" i="16"/>
  <c r="G9" i="16"/>
  <c r="H9" i="16"/>
  <c r="I9" i="16"/>
  <c r="J9" i="16"/>
  <c r="K9" i="16"/>
  <c r="L9" i="16"/>
  <c r="M9" i="16"/>
  <c r="N9" i="16"/>
  <c r="O9" i="16"/>
  <c r="P9" i="16"/>
  <c r="Q9" i="16"/>
  <c r="R9" i="16"/>
  <c r="F13" i="16"/>
  <c r="F6" i="16"/>
  <c r="B25" i="16"/>
  <c r="F20" i="16"/>
  <c r="F71" i="16"/>
  <c r="F80" i="16"/>
  <c r="I76" i="16"/>
  <c r="O22" i="16"/>
  <c r="P22" i="16"/>
  <c r="Q22" i="16"/>
  <c r="R22" i="16"/>
  <c r="G6" i="16"/>
  <c r="H6" i="16"/>
  <c r="I6" i="16"/>
  <c r="J6" i="16"/>
  <c r="K6" i="16"/>
  <c r="L6" i="16"/>
  <c r="M6" i="16"/>
  <c r="N6" i="16"/>
  <c r="O6" i="16"/>
  <c r="P6" i="16"/>
  <c r="Q6" i="16"/>
  <c r="R6" i="16"/>
  <c r="G13" i="16"/>
  <c r="H13" i="16"/>
  <c r="I13" i="16"/>
  <c r="J13" i="16"/>
  <c r="K13" i="16"/>
  <c r="L13" i="16"/>
  <c r="M13" i="16"/>
  <c r="N13" i="16"/>
  <c r="O13" i="16"/>
  <c r="P13" i="16"/>
  <c r="Q13" i="16"/>
  <c r="R13" i="16"/>
  <c r="F4" i="16"/>
  <c r="F35" i="16"/>
  <c r="F14" i="16"/>
  <c r="G7" i="16"/>
  <c r="H7" i="16"/>
  <c r="I7" i="16"/>
  <c r="J7" i="16"/>
  <c r="K7" i="16"/>
  <c r="L7" i="16"/>
  <c r="M7" i="16"/>
  <c r="N7" i="16"/>
  <c r="O7" i="16"/>
  <c r="P7" i="16"/>
  <c r="Q7" i="16"/>
  <c r="R7" i="16"/>
  <c r="F8" i="16"/>
  <c r="G15" i="16"/>
  <c r="J76" i="16"/>
  <c r="B22" i="16"/>
  <c r="G4" i="16"/>
  <c r="H4" i="16"/>
  <c r="I4" i="16"/>
  <c r="J4" i="16"/>
  <c r="K4" i="16"/>
  <c r="L4" i="16"/>
  <c r="M4" i="16"/>
  <c r="N4" i="16"/>
  <c r="O4" i="16"/>
  <c r="P4" i="16"/>
  <c r="Q4" i="16"/>
  <c r="R4" i="16"/>
  <c r="H15" i="16"/>
  <c r="G8" i="16"/>
  <c r="K76" i="16"/>
  <c r="H8" i="16"/>
  <c r="I15" i="16"/>
  <c r="L76" i="16"/>
  <c r="J15" i="16"/>
  <c r="I8" i="16"/>
  <c r="M76" i="16"/>
  <c r="J8" i="16"/>
  <c r="K15" i="16"/>
  <c r="N76" i="16"/>
  <c r="L15" i="16"/>
  <c r="K8" i="16"/>
  <c r="O76" i="16"/>
  <c r="L8" i="16"/>
  <c r="M15" i="16"/>
  <c r="P76" i="16"/>
  <c r="N15" i="16"/>
  <c r="M8" i="16"/>
  <c r="Q76" i="16"/>
  <c r="N8" i="16"/>
  <c r="O15" i="16"/>
  <c r="R76" i="16"/>
  <c r="P15" i="16"/>
  <c r="O8" i="16"/>
  <c r="P8" i="16"/>
  <c r="Q15" i="16"/>
  <c r="R15" i="16"/>
  <c r="Q8" i="16"/>
  <c r="R8" i="16"/>
  <c r="N18" i="17"/>
  <c r="B5" i="14"/>
  <c r="T14" i="17"/>
  <c r="S14" i="17"/>
  <c r="B11" i="17"/>
  <c r="S15" i="17"/>
  <c r="T15" i="17"/>
  <c r="G38" i="17"/>
  <c r="G39" i="17"/>
  <c r="M22" i="17"/>
  <c r="M18" i="17"/>
  <c r="S11" i="17"/>
  <c r="S10" i="17"/>
  <c r="I10" i="17"/>
  <c r="M9" i="17"/>
  <c r="N28" i="17"/>
  <c r="P28" i="17"/>
  <c r="H18" i="17"/>
  <c r="G18" i="17"/>
  <c r="X10" i="17"/>
  <c r="B16" i="17"/>
  <c r="N10" i="17"/>
  <c r="H9" i="17"/>
  <c r="G47" i="17"/>
  <c r="AB10" i="17"/>
  <c r="AB12" i="17"/>
  <c r="X12" i="17"/>
  <c r="H10" i="17"/>
  <c r="S23" i="17"/>
  <c r="S24" i="17"/>
  <c r="U24" i="17"/>
  <c r="H47" i="17"/>
  <c r="I47" i="17"/>
  <c r="J47" i="17"/>
  <c r="K47" i="17"/>
  <c r="L47" i="17"/>
  <c r="M47" i="17"/>
  <c r="N47" i="17"/>
  <c r="O47" i="17"/>
  <c r="P47" i="17"/>
  <c r="Q47" i="17"/>
  <c r="R47" i="17"/>
  <c r="S47" i="17"/>
  <c r="G51" i="17"/>
  <c r="H51" i="17"/>
  <c r="P10" i="17"/>
  <c r="O32" i="17"/>
  <c r="O34" i="17"/>
  <c r="I18" i="17"/>
  <c r="M10" i="17"/>
  <c r="O10" i="17"/>
  <c r="J9" i="17"/>
  <c r="G50" i="17"/>
  <c r="G19" i="17"/>
  <c r="X11" i="17"/>
  <c r="N19" i="17"/>
  <c r="H22" i="17"/>
  <c r="J22" i="17"/>
  <c r="N14" i="17"/>
  <c r="J18" i="17"/>
  <c r="G53" i="17"/>
  <c r="B7" i="14"/>
  <c r="U23" i="17"/>
  <c r="N23" i="17"/>
  <c r="T23" i="17"/>
  <c r="H52" i="17"/>
  <c r="X32" i="17"/>
  <c r="X34" i="17"/>
  <c r="I51" i="17"/>
  <c r="J51" i="17"/>
  <c r="K51" i="17"/>
  <c r="L51" i="17"/>
  <c r="M51" i="17"/>
  <c r="N51" i="17"/>
  <c r="O51" i="17"/>
  <c r="P51" i="17"/>
  <c r="Q51" i="17"/>
  <c r="R51" i="17"/>
  <c r="S51" i="17"/>
  <c r="J10" i="17"/>
  <c r="H50" i="17"/>
  <c r="I19" i="17"/>
  <c r="G3" i="16"/>
  <c r="T28" i="17"/>
  <c r="V23" i="17"/>
  <c r="C5" i="14"/>
  <c r="H53" i="17"/>
  <c r="C7" i="14"/>
  <c r="I52" i="17"/>
  <c r="Y32" i="17"/>
  <c r="Y34" i="17"/>
  <c r="I50" i="17"/>
  <c r="G20" i="16"/>
  <c r="G71" i="16"/>
  <c r="G80" i="16"/>
  <c r="H3" i="16"/>
  <c r="U28" i="17"/>
  <c r="U27" i="17"/>
  <c r="T27" i="17"/>
  <c r="D5" i="14"/>
  <c r="J52" i="17"/>
  <c r="I53" i="17"/>
  <c r="D7" i="14"/>
  <c r="J50" i="17"/>
  <c r="G22" i="17"/>
  <c r="I22" i="17"/>
  <c r="Z32" i="17"/>
  <c r="Z34" i="17"/>
  <c r="H20" i="16"/>
  <c r="H71" i="16"/>
  <c r="H80" i="16"/>
  <c r="K50" i="17"/>
  <c r="I3" i="16"/>
  <c r="V28" i="17"/>
  <c r="E5" i="14"/>
  <c r="K52" i="17"/>
  <c r="J3" i="16"/>
  <c r="J53" i="17"/>
  <c r="E7" i="14"/>
  <c r="A3" i="1"/>
  <c r="B3" i="1"/>
  <c r="A4" i="1"/>
  <c r="B4" i="1"/>
  <c r="A5" i="1"/>
  <c r="B5" i="1"/>
  <c r="A6" i="1"/>
  <c r="B6" i="1"/>
  <c r="A7" i="1"/>
  <c r="B7" i="1"/>
  <c r="A8" i="1"/>
  <c r="B8" i="1"/>
  <c r="A9" i="1"/>
  <c r="B9" i="1"/>
  <c r="A10" i="1"/>
  <c r="B10" i="1"/>
  <c r="A11" i="1"/>
  <c r="B11" i="1"/>
  <c r="A12" i="1"/>
  <c r="B12" i="1"/>
  <c r="A13" i="1"/>
  <c r="B13" i="1"/>
  <c r="A14" i="1"/>
  <c r="B14" i="1"/>
  <c r="A15" i="1"/>
  <c r="B15" i="1"/>
  <c r="A16" i="1"/>
  <c r="B16" i="1"/>
  <c r="A17" i="1"/>
  <c r="B17" i="1"/>
  <c r="A18" i="1"/>
  <c r="B18" i="1"/>
  <c r="A19" i="1"/>
  <c r="B19" i="1"/>
  <c r="A20" i="1"/>
  <c r="B20" i="1"/>
  <c r="A21" i="1"/>
  <c r="B21" i="1"/>
  <c r="A22" i="1"/>
  <c r="B22" i="1"/>
  <c r="A23" i="1"/>
  <c r="B23" i="1"/>
  <c r="A24" i="1"/>
  <c r="B24" i="1"/>
  <c r="A25" i="1"/>
  <c r="B25" i="1"/>
  <c r="A26" i="1"/>
  <c r="B26" i="1"/>
  <c r="A27" i="1"/>
  <c r="B27" i="1"/>
  <c r="A28" i="1"/>
  <c r="B28" i="1"/>
  <c r="A29" i="1"/>
  <c r="B29" i="1"/>
  <c r="A30" i="1"/>
  <c r="B30" i="1"/>
  <c r="A31" i="1"/>
  <c r="B31" i="1"/>
  <c r="B2" i="1"/>
  <c r="A2" i="1"/>
  <c r="J20" i="16"/>
  <c r="J71" i="16"/>
  <c r="J80" i="16"/>
  <c r="I20" i="16"/>
  <c r="I71" i="16"/>
  <c r="I80" i="16"/>
  <c r="V27" i="17"/>
  <c r="T32" i="17"/>
  <c r="T31" i="17"/>
  <c r="L50" i="17"/>
  <c r="F5" i="14"/>
  <c r="L52" i="17"/>
  <c r="K3" i="16"/>
  <c r="K53" i="17"/>
  <c r="F7" i="14"/>
  <c r="K20" i="16"/>
  <c r="K71" i="16"/>
  <c r="K80" i="16"/>
  <c r="M50" i="17"/>
  <c r="G5" i="14"/>
  <c r="M52" i="17"/>
  <c r="L3" i="16"/>
  <c r="L53" i="17"/>
  <c r="G7" i="14"/>
  <c r="C9" i="14"/>
  <c r="D9" i="14"/>
  <c r="E9" i="14"/>
  <c r="B9" i="14"/>
  <c r="D2" i="5"/>
  <c r="P2" i="5"/>
  <c r="D2" i="4"/>
  <c r="P2" i="4"/>
  <c r="D2" i="3"/>
  <c r="P2" i="3"/>
  <c r="D2" i="2"/>
  <c r="P2" i="2"/>
  <c r="D2" i="1"/>
  <c r="L20" i="16"/>
  <c r="L71" i="16"/>
  <c r="L80" i="16"/>
  <c r="N50" i="17"/>
  <c r="D2" i="6"/>
  <c r="P2" i="6"/>
  <c r="F9" i="14"/>
  <c r="H5" i="14"/>
  <c r="N52" i="17"/>
  <c r="M3" i="16"/>
  <c r="M53" i="17"/>
  <c r="H7" i="14"/>
  <c r="F2" i="7"/>
  <c r="F3" i="7"/>
  <c r="F4" i="7"/>
  <c r="F5" i="7"/>
  <c r="F6" i="7"/>
  <c r="F7" i="7"/>
  <c r="F8" i="7"/>
  <c r="F9" i="7"/>
  <c r="F10" i="7"/>
  <c r="F11" i="7"/>
  <c r="F12" i="7"/>
  <c r="F13" i="7"/>
  <c r="F14" i="7"/>
  <c r="F15" i="7"/>
  <c r="F16" i="7"/>
  <c r="F17" i="7"/>
  <c r="F18" i="7"/>
  <c r="F19" i="7"/>
  <c r="F20" i="7"/>
  <c r="F21" i="7"/>
  <c r="F22" i="7"/>
  <c r="F23" i="7"/>
  <c r="F24" i="7"/>
  <c r="F25" i="7"/>
  <c r="F26" i="7"/>
  <c r="F27" i="7"/>
  <c r="F28" i="7"/>
  <c r="F29" i="7"/>
  <c r="F30" i="7"/>
  <c r="F31" i="7"/>
  <c r="F2" i="6"/>
  <c r="F2" i="5"/>
  <c r="F3" i="5"/>
  <c r="F4" i="5"/>
  <c r="F5" i="5"/>
  <c r="F6" i="5"/>
  <c r="F7" i="5"/>
  <c r="F8" i="5"/>
  <c r="F9" i="5"/>
  <c r="F10" i="5"/>
  <c r="F11" i="5"/>
  <c r="F12" i="5"/>
  <c r="F13" i="5"/>
  <c r="F14" i="5"/>
  <c r="F15" i="5"/>
  <c r="F16" i="5"/>
  <c r="F17" i="5"/>
  <c r="F18" i="5"/>
  <c r="F19" i="5"/>
  <c r="F20" i="5"/>
  <c r="F21" i="5"/>
  <c r="F22" i="5"/>
  <c r="F23" i="5"/>
  <c r="F24" i="5"/>
  <c r="F25" i="5"/>
  <c r="F26" i="5"/>
  <c r="F27" i="5"/>
  <c r="F28" i="5"/>
  <c r="F29" i="5"/>
  <c r="F30" i="5"/>
  <c r="F31" i="5"/>
  <c r="F2" i="4"/>
  <c r="F3" i="4"/>
  <c r="F4" i="4"/>
  <c r="F5" i="4"/>
  <c r="F6" i="4"/>
  <c r="F7" i="4"/>
  <c r="F8" i="4"/>
  <c r="F9" i="4"/>
  <c r="F10" i="4"/>
  <c r="F11" i="4"/>
  <c r="F12" i="4"/>
  <c r="F13" i="4"/>
  <c r="F14" i="4"/>
  <c r="F15" i="4"/>
  <c r="F16" i="4"/>
  <c r="F17" i="4"/>
  <c r="F18" i="4"/>
  <c r="F19" i="4"/>
  <c r="F20" i="4"/>
  <c r="F21" i="4"/>
  <c r="F22" i="4"/>
  <c r="F23" i="4"/>
  <c r="F24" i="4"/>
  <c r="F25" i="4"/>
  <c r="F26" i="4"/>
  <c r="F27" i="4"/>
  <c r="F28" i="4"/>
  <c r="F29" i="4"/>
  <c r="F30" i="4"/>
  <c r="F31" i="4"/>
  <c r="F2" i="3"/>
  <c r="F3" i="3"/>
  <c r="F4" i="3"/>
  <c r="F5" i="3"/>
  <c r="F6" i="3"/>
  <c r="F7" i="3"/>
  <c r="F8" i="3"/>
  <c r="F9" i="3"/>
  <c r="F10" i="3"/>
  <c r="F11" i="3"/>
  <c r="F12" i="3"/>
  <c r="F13" i="3"/>
  <c r="F14" i="3"/>
  <c r="F15" i="3"/>
  <c r="F16" i="3"/>
  <c r="F17" i="3"/>
  <c r="F18" i="3"/>
  <c r="F19" i="3"/>
  <c r="F20" i="3"/>
  <c r="F21" i="3"/>
  <c r="F22" i="3"/>
  <c r="F23" i="3"/>
  <c r="F24" i="3"/>
  <c r="F25" i="3"/>
  <c r="F26" i="3"/>
  <c r="F27" i="3"/>
  <c r="F28" i="3"/>
  <c r="F29" i="3"/>
  <c r="F30" i="3"/>
  <c r="F31" i="3"/>
  <c r="D3" i="3"/>
  <c r="F2" i="2"/>
  <c r="F3"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D3" i="5"/>
  <c r="D3" i="4"/>
  <c r="D3" i="2"/>
  <c r="P3" i="2"/>
  <c r="F2" i="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P2" i="1"/>
  <c r="M20" i="16"/>
  <c r="M71" i="16"/>
  <c r="M80" i="16"/>
  <c r="O50" i="17"/>
  <c r="D4" i="4"/>
  <c r="P4" i="4"/>
  <c r="P3" i="4"/>
  <c r="D4" i="5"/>
  <c r="P4" i="5"/>
  <c r="P3" i="5"/>
  <c r="D4" i="3"/>
  <c r="P4" i="3"/>
  <c r="P3" i="3"/>
  <c r="I5" i="14"/>
  <c r="G9" i="14"/>
  <c r="D2" i="7"/>
  <c r="P2" i="7"/>
  <c r="O52" i="17"/>
  <c r="N3" i="16"/>
  <c r="N53" i="17"/>
  <c r="I7" i="14"/>
  <c r="F2" i="8"/>
  <c r="F3" i="8"/>
  <c r="F4" i="8"/>
  <c r="F5" i="8"/>
  <c r="F6" i="8"/>
  <c r="F7" i="8"/>
  <c r="F8" i="8"/>
  <c r="F9" i="8"/>
  <c r="F10" i="8"/>
  <c r="F11" i="8"/>
  <c r="F12" i="8"/>
  <c r="F13" i="8"/>
  <c r="F14" i="8"/>
  <c r="F15" i="8"/>
  <c r="F16" i="8"/>
  <c r="F17" i="8"/>
  <c r="F18" i="8"/>
  <c r="F19" i="8"/>
  <c r="F20" i="8"/>
  <c r="F21" i="8"/>
  <c r="F22" i="8"/>
  <c r="F23" i="8"/>
  <c r="F24" i="8"/>
  <c r="F25" i="8"/>
  <c r="F26" i="8"/>
  <c r="F27" i="8"/>
  <c r="F28" i="8"/>
  <c r="F29" i="8"/>
  <c r="F30" i="8"/>
  <c r="F31" i="8"/>
  <c r="D3" i="6"/>
  <c r="P3" i="6"/>
  <c r="F3" i="6"/>
  <c r="D4" i="2"/>
  <c r="P4" i="2"/>
  <c r="D3" i="1"/>
  <c r="P3" i="1"/>
  <c r="N20" i="16"/>
  <c r="N71" i="16"/>
  <c r="N80" i="16"/>
  <c r="D5" i="4"/>
  <c r="P5" i="4"/>
  <c r="P50" i="17"/>
  <c r="D5" i="3"/>
  <c r="P5" i="3"/>
  <c r="D5" i="5"/>
  <c r="P5" i="5"/>
  <c r="D3" i="7"/>
  <c r="J5" i="14"/>
  <c r="H9" i="14"/>
  <c r="D2" i="8"/>
  <c r="P2" i="8"/>
  <c r="P52" i="17"/>
  <c r="O3" i="16"/>
  <c r="O53" i="17"/>
  <c r="J7" i="14"/>
  <c r="F2" i="9"/>
  <c r="F3" i="9"/>
  <c r="F4" i="9"/>
  <c r="F5" i="9"/>
  <c r="F6" i="9"/>
  <c r="F7" i="9"/>
  <c r="F8" i="9"/>
  <c r="F9" i="9"/>
  <c r="F10" i="9"/>
  <c r="F11" i="9"/>
  <c r="F12" i="9"/>
  <c r="F13" i="9"/>
  <c r="F14" i="9"/>
  <c r="F15" i="9"/>
  <c r="F16" i="9"/>
  <c r="F17" i="9"/>
  <c r="F18" i="9"/>
  <c r="F19" i="9"/>
  <c r="F20" i="9"/>
  <c r="F21" i="9"/>
  <c r="F22" i="9"/>
  <c r="F23" i="9"/>
  <c r="F24" i="9"/>
  <c r="F25" i="9"/>
  <c r="F26" i="9"/>
  <c r="F27" i="9"/>
  <c r="F28" i="9"/>
  <c r="F29" i="9"/>
  <c r="F30" i="9"/>
  <c r="F31" i="9"/>
  <c r="D4" i="6"/>
  <c r="P4" i="6"/>
  <c r="F4" i="6"/>
  <c r="D6" i="4"/>
  <c r="P6" i="4"/>
  <c r="D5" i="2"/>
  <c r="P5" i="2"/>
  <c r="D4" i="1"/>
  <c r="P4" i="1"/>
  <c r="D6" i="3"/>
  <c r="P6" i="3"/>
  <c r="O20" i="16"/>
  <c r="O71" i="16"/>
  <c r="O80" i="16"/>
  <c r="Q50" i="17"/>
  <c r="D6" i="5"/>
  <c r="P6" i="5"/>
  <c r="D4" i="7"/>
  <c r="P4" i="7"/>
  <c r="P3" i="7"/>
  <c r="K5" i="14"/>
  <c r="D3" i="8"/>
  <c r="P3" i="8"/>
  <c r="I9" i="14"/>
  <c r="D2" i="9"/>
  <c r="P2" i="9"/>
  <c r="Q52" i="17"/>
  <c r="P3" i="16"/>
  <c r="P53" i="17"/>
  <c r="K7" i="14"/>
  <c r="F2" i="10"/>
  <c r="F3" i="10"/>
  <c r="F4" i="10"/>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D5" i="7"/>
  <c r="P5" i="7"/>
  <c r="D5" i="6"/>
  <c r="P5" i="6"/>
  <c r="F5" i="6"/>
  <c r="D7" i="5"/>
  <c r="P7" i="5"/>
  <c r="D7" i="4"/>
  <c r="P7" i="4"/>
  <c r="D6" i="2"/>
  <c r="P6" i="2"/>
  <c r="D5" i="1"/>
  <c r="P5" i="1"/>
  <c r="D7" i="3"/>
  <c r="P7" i="3"/>
  <c r="P20" i="16"/>
  <c r="P71" i="16"/>
  <c r="P80" i="16"/>
  <c r="R50" i="17"/>
  <c r="D3" i="9"/>
  <c r="P3" i="9"/>
  <c r="J9" i="14"/>
  <c r="D2" i="10"/>
  <c r="P2" i="10"/>
  <c r="L5" i="14"/>
  <c r="D4" i="8"/>
  <c r="P4" i="8"/>
  <c r="R52" i="17"/>
  <c r="Q3" i="16"/>
  <c r="Q53" i="17"/>
  <c r="L7" i="14"/>
  <c r="F2" i="11"/>
  <c r="F3" i="11"/>
  <c r="F4" i="11"/>
  <c r="F5" i="11"/>
  <c r="F6" i="11"/>
  <c r="F7" i="11"/>
  <c r="F8" i="11"/>
  <c r="F9" i="11"/>
  <c r="F10" i="11"/>
  <c r="F11" i="11"/>
  <c r="F12" i="11"/>
  <c r="F13" i="11"/>
  <c r="F14" i="11"/>
  <c r="F15" i="11"/>
  <c r="F16" i="11"/>
  <c r="F17" i="11"/>
  <c r="F18" i="11"/>
  <c r="F19" i="11"/>
  <c r="F20" i="11"/>
  <c r="F21" i="11"/>
  <c r="F22" i="11"/>
  <c r="F23" i="11"/>
  <c r="F24" i="11"/>
  <c r="F25" i="11"/>
  <c r="F26" i="11"/>
  <c r="F27" i="11"/>
  <c r="F28" i="11"/>
  <c r="F29" i="11"/>
  <c r="F30" i="11"/>
  <c r="F31" i="11"/>
  <c r="D6" i="6"/>
  <c r="P6" i="6"/>
  <c r="D6" i="7"/>
  <c r="P6" i="7"/>
  <c r="F6" i="6"/>
  <c r="D8" i="5"/>
  <c r="P8" i="5"/>
  <c r="D8" i="4"/>
  <c r="P8" i="4"/>
  <c r="D8" i="3"/>
  <c r="P8" i="3"/>
  <c r="D7" i="2"/>
  <c r="P7" i="2"/>
  <c r="D6" i="1"/>
  <c r="P6" i="1"/>
  <c r="Q20" i="16"/>
  <c r="Q71" i="16"/>
  <c r="Q80" i="16"/>
  <c r="S50" i="17"/>
  <c r="D5" i="8"/>
  <c r="P5" i="8"/>
  <c r="M5" i="14"/>
  <c r="K9" i="14"/>
  <c r="D2" i="11"/>
  <c r="P2" i="11"/>
  <c r="D3" i="10"/>
  <c r="P3" i="10"/>
  <c r="D4" i="9"/>
  <c r="P4" i="9"/>
  <c r="S52" i="17"/>
  <c r="R3" i="16"/>
  <c r="R71" i="16"/>
  <c r="R53" i="17"/>
  <c r="M7" i="14"/>
  <c r="F2" i="12"/>
  <c r="F3" i="12"/>
  <c r="F4" i="12"/>
  <c r="F5" i="12"/>
  <c r="F6" i="12"/>
  <c r="F7" i="12"/>
  <c r="F8" i="12"/>
  <c r="F9" i="12"/>
  <c r="F10" i="12"/>
  <c r="F11" i="12"/>
  <c r="F12" i="12"/>
  <c r="F13" i="12"/>
  <c r="F14" i="12"/>
  <c r="F15" i="12"/>
  <c r="F16" i="12"/>
  <c r="F17" i="12"/>
  <c r="F18" i="12"/>
  <c r="F19" i="12"/>
  <c r="F20" i="12"/>
  <c r="F21" i="12"/>
  <c r="F22" i="12"/>
  <c r="F23" i="12"/>
  <c r="F24" i="12"/>
  <c r="F25" i="12"/>
  <c r="F26" i="12"/>
  <c r="F27" i="12"/>
  <c r="F28" i="12"/>
  <c r="F29" i="12"/>
  <c r="F30" i="12"/>
  <c r="F31" i="12"/>
  <c r="D7" i="6"/>
  <c r="P7" i="6"/>
  <c r="D7" i="7"/>
  <c r="P7" i="7"/>
  <c r="F7" i="6"/>
  <c r="D9" i="5"/>
  <c r="P9" i="5"/>
  <c r="D9" i="4"/>
  <c r="P9" i="4"/>
  <c r="D9" i="3"/>
  <c r="P9" i="3"/>
  <c r="D8" i="2"/>
  <c r="P8" i="2"/>
  <c r="D7" i="1"/>
  <c r="P7" i="1"/>
  <c r="R80" i="16"/>
  <c r="F77" i="16"/>
  <c r="R20" i="16"/>
  <c r="F16" i="16"/>
  <c r="D3" i="11"/>
  <c r="P3" i="11"/>
  <c r="L9" i="14"/>
  <c r="D2" i="12"/>
  <c r="P2" i="12"/>
  <c r="S53" i="17"/>
  <c r="N7" i="14"/>
  <c r="F2" i="13"/>
  <c r="F3" i="13"/>
  <c r="F4" i="13"/>
  <c r="F5" i="13"/>
  <c r="F6" i="13"/>
  <c r="F7" i="13"/>
  <c r="F8" i="13"/>
  <c r="F9" i="13"/>
  <c r="F10" i="13"/>
  <c r="F11" i="13"/>
  <c r="F12" i="13"/>
  <c r="F13" i="13"/>
  <c r="F14" i="13"/>
  <c r="F15" i="13"/>
  <c r="F16" i="13"/>
  <c r="F17" i="13"/>
  <c r="F18" i="13"/>
  <c r="F19" i="13"/>
  <c r="F20" i="13"/>
  <c r="F21" i="13"/>
  <c r="F22" i="13"/>
  <c r="F23" i="13"/>
  <c r="F24" i="13"/>
  <c r="F25" i="13"/>
  <c r="F26" i="13"/>
  <c r="F27" i="13"/>
  <c r="F28" i="13"/>
  <c r="F29" i="13"/>
  <c r="F30" i="13"/>
  <c r="F31" i="13"/>
  <c r="N5" i="14"/>
  <c r="D5" i="9"/>
  <c r="P5" i="9"/>
  <c r="D4" i="10"/>
  <c r="P4" i="10"/>
  <c r="D6" i="8"/>
  <c r="P6" i="8"/>
  <c r="D8" i="6"/>
  <c r="P8" i="6"/>
  <c r="D8" i="7"/>
  <c r="P8" i="7"/>
  <c r="F8" i="6"/>
  <c r="D10" i="5"/>
  <c r="P10" i="5"/>
  <c r="D10" i="4"/>
  <c r="P10" i="4"/>
  <c r="D10" i="3"/>
  <c r="P10" i="3"/>
  <c r="D9" i="2"/>
  <c r="P9" i="2"/>
  <c r="D8" i="1"/>
  <c r="P8" i="1"/>
  <c r="G77" i="16"/>
  <c r="F79" i="16"/>
  <c r="F81" i="16"/>
  <c r="F21" i="16"/>
  <c r="G16" i="16"/>
  <c r="F19" i="16"/>
  <c r="B4" i="14"/>
  <c r="D7" i="8"/>
  <c r="P7" i="8"/>
  <c r="D6" i="9"/>
  <c r="P6" i="9"/>
  <c r="M9" i="14"/>
  <c r="D2" i="13"/>
  <c r="D5" i="10"/>
  <c r="P5" i="10"/>
  <c r="D3" i="12"/>
  <c r="P3" i="12"/>
  <c r="D4" i="11"/>
  <c r="P4" i="11"/>
  <c r="D9" i="7"/>
  <c r="P9" i="7"/>
  <c r="D9" i="6"/>
  <c r="P9" i="6"/>
  <c r="F9" i="6"/>
  <c r="D11" i="5"/>
  <c r="P11" i="5"/>
  <c r="D11" i="4"/>
  <c r="P11" i="4"/>
  <c r="D11" i="3"/>
  <c r="P11" i="3"/>
  <c r="D10" i="2"/>
  <c r="P10" i="2"/>
  <c r="D9" i="1"/>
  <c r="P9" i="1"/>
  <c r="H77" i="16"/>
  <c r="G79" i="16"/>
  <c r="G81" i="16"/>
  <c r="G107" i="16"/>
  <c r="H16" i="16"/>
  <c r="G19" i="16"/>
  <c r="G21" i="16"/>
  <c r="G47" i="16"/>
  <c r="C4" i="14"/>
  <c r="B10" i="14"/>
  <c r="D5" i="11"/>
  <c r="P5" i="11"/>
  <c r="D4" i="12"/>
  <c r="P4" i="12"/>
  <c r="D6" i="10"/>
  <c r="P6" i="10"/>
  <c r="P2" i="13"/>
  <c r="D3" i="13"/>
  <c r="D7" i="9"/>
  <c r="P7" i="9"/>
  <c r="D8" i="8"/>
  <c r="P8" i="8"/>
  <c r="D10" i="6"/>
  <c r="P10" i="6"/>
  <c r="D10" i="7"/>
  <c r="P10" i="7"/>
  <c r="F10" i="6"/>
  <c r="D12" i="5"/>
  <c r="P12" i="5"/>
  <c r="D12" i="4"/>
  <c r="P12" i="4"/>
  <c r="D12" i="3"/>
  <c r="P12" i="3"/>
  <c r="D11" i="2"/>
  <c r="P11" i="2"/>
  <c r="D10" i="1"/>
  <c r="P10" i="1"/>
  <c r="I77" i="16"/>
  <c r="H79" i="16"/>
  <c r="H81" i="16"/>
  <c r="H107" i="16"/>
  <c r="H19" i="16"/>
  <c r="I16" i="16"/>
  <c r="H21" i="16"/>
  <c r="H47" i="16"/>
  <c r="D4" i="14"/>
  <c r="C10" i="14"/>
  <c r="H4" i="15"/>
  <c r="D9" i="8"/>
  <c r="P9" i="8"/>
  <c r="D8" i="9"/>
  <c r="P8" i="9"/>
  <c r="D4" i="13"/>
  <c r="P3" i="13"/>
  <c r="D7" i="10"/>
  <c r="P7" i="10"/>
  <c r="D5" i="12"/>
  <c r="P5" i="12"/>
  <c r="D6" i="11"/>
  <c r="P6" i="11"/>
  <c r="D11" i="6"/>
  <c r="P11" i="6"/>
  <c r="D11" i="7"/>
  <c r="P11" i="7"/>
  <c r="F11" i="6"/>
  <c r="D13" i="5"/>
  <c r="P13" i="5"/>
  <c r="D13" i="4"/>
  <c r="P13" i="4"/>
  <c r="D13" i="3"/>
  <c r="P13" i="3"/>
  <c r="D12" i="2"/>
  <c r="P12" i="2"/>
  <c r="D11" i="1"/>
  <c r="P11" i="1"/>
  <c r="I79" i="16"/>
  <c r="J77" i="16"/>
  <c r="I81" i="16"/>
  <c r="I107" i="16"/>
  <c r="I19" i="16"/>
  <c r="J16" i="16"/>
  <c r="I21" i="16"/>
  <c r="I47" i="16"/>
  <c r="E4" i="14"/>
  <c r="D10" i="14"/>
  <c r="L4" i="15"/>
  <c r="I4" i="15"/>
  <c r="A2" i="2"/>
  <c r="J4" i="15"/>
  <c r="B2" i="2"/>
  <c r="H5" i="15"/>
  <c r="D7" i="11"/>
  <c r="P7" i="11"/>
  <c r="D8" i="10"/>
  <c r="P8" i="10"/>
  <c r="D9" i="9"/>
  <c r="P9" i="9"/>
  <c r="D6" i="12"/>
  <c r="P6" i="12"/>
  <c r="P4" i="13"/>
  <c r="D5" i="13"/>
  <c r="D10" i="8"/>
  <c r="P10" i="8"/>
  <c r="D12" i="7"/>
  <c r="P12" i="7"/>
  <c r="D12" i="6"/>
  <c r="P12" i="6"/>
  <c r="F12" i="6"/>
  <c r="D14" i="5"/>
  <c r="P14" i="5"/>
  <c r="D14" i="4"/>
  <c r="P14" i="4"/>
  <c r="D14" i="3"/>
  <c r="P14" i="3"/>
  <c r="D13" i="2"/>
  <c r="P13" i="2"/>
  <c r="D12" i="1"/>
  <c r="P12" i="1"/>
  <c r="J79" i="16"/>
  <c r="K77" i="16"/>
  <c r="J81" i="16"/>
  <c r="J107" i="16"/>
  <c r="K16" i="16"/>
  <c r="J19" i="16"/>
  <c r="J21" i="16"/>
  <c r="J47" i="16"/>
  <c r="J5" i="15"/>
  <c r="B3" i="2"/>
  <c r="H6" i="15"/>
  <c r="I5" i="15"/>
  <c r="A3" i="2"/>
  <c r="F4" i="14"/>
  <c r="E10" i="14"/>
  <c r="P4" i="15"/>
  <c r="N4" i="15"/>
  <c r="B2" i="3"/>
  <c r="M4" i="15"/>
  <c r="A2" i="3"/>
  <c r="L5" i="15"/>
  <c r="D11" i="8"/>
  <c r="P11" i="8"/>
  <c r="D7" i="12"/>
  <c r="P7" i="12"/>
  <c r="P5" i="13"/>
  <c r="D6" i="13"/>
  <c r="D10" i="9"/>
  <c r="P10" i="9"/>
  <c r="D9" i="10"/>
  <c r="P9" i="10"/>
  <c r="D8" i="11"/>
  <c r="P8" i="11"/>
  <c r="D13" i="6"/>
  <c r="P13" i="6"/>
  <c r="D13" i="7"/>
  <c r="P13" i="7"/>
  <c r="F13" i="6"/>
  <c r="D15" i="5"/>
  <c r="P15" i="5"/>
  <c r="D15" i="4"/>
  <c r="P15" i="4"/>
  <c r="D15" i="3"/>
  <c r="P15" i="3"/>
  <c r="D14" i="2"/>
  <c r="P14" i="2"/>
  <c r="D13" i="1"/>
  <c r="P13" i="1"/>
  <c r="K79" i="16"/>
  <c r="L77" i="16"/>
  <c r="K81" i="16"/>
  <c r="K107" i="16"/>
  <c r="L16" i="16"/>
  <c r="K19" i="16"/>
  <c r="K21" i="16"/>
  <c r="K47" i="16"/>
  <c r="R4" i="15"/>
  <c r="B2" i="4"/>
  <c r="Q4" i="15"/>
  <c r="A2" i="4"/>
  <c r="P5" i="15"/>
  <c r="N5" i="15"/>
  <c r="B3" i="3"/>
  <c r="L6" i="15"/>
  <c r="M5" i="15"/>
  <c r="A3" i="3"/>
  <c r="G4" i="14"/>
  <c r="F10" i="14"/>
  <c r="T4" i="15"/>
  <c r="I6" i="15"/>
  <c r="A4" i="2"/>
  <c r="H7" i="15"/>
  <c r="J6" i="15"/>
  <c r="B4" i="2"/>
  <c r="D9" i="11"/>
  <c r="P9" i="11"/>
  <c r="D10" i="10"/>
  <c r="P10" i="10"/>
  <c r="D11" i="9"/>
  <c r="P11" i="9"/>
  <c r="D8" i="12"/>
  <c r="P8" i="12"/>
  <c r="P6" i="13"/>
  <c r="D7" i="13"/>
  <c r="D12" i="8"/>
  <c r="P12" i="8"/>
  <c r="D14" i="7"/>
  <c r="P14" i="7"/>
  <c r="D14" i="6"/>
  <c r="P14" i="6"/>
  <c r="F14" i="6"/>
  <c r="D16" i="5"/>
  <c r="P16" i="5"/>
  <c r="D16" i="4"/>
  <c r="P16" i="4"/>
  <c r="D16" i="3"/>
  <c r="P16" i="3"/>
  <c r="D15" i="2"/>
  <c r="P15" i="2"/>
  <c r="D14" i="1"/>
  <c r="P14" i="1"/>
  <c r="M77" i="16"/>
  <c r="L79" i="16"/>
  <c r="L81" i="16"/>
  <c r="L107" i="16"/>
  <c r="M16" i="16"/>
  <c r="L19" i="16"/>
  <c r="L21" i="16"/>
  <c r="L47" i="16"/>
  <c r="H4" i="14"/>
  <c r="G10" i="14"/>
  <c r="X4" i="15"/>
  <c r="N6" i="15"/>
  <c r="B4" i="3"/>
  <c r="M6" i="15"/>
  <c r="A4" i="3"/>
  <c r="L7" i="15"/>
  <c r="R5" i="15"/>
  <c r="B3" i="4"/>
  <c r="Q5" i="15"/>
  <c r="A3" i="4"/>
  <c r="P6" i="15"/>
  <c r="I7" i="15"/>
  <c r="A5" i="2"/>
  <c r="H8" i="15"/>
  <c r="J7" i="15"/>
  <c r="B5" i="2"/>
  <c r="V4" i="15"/>
  <c r="B2" i="5"/>
  <c r="U4" i="15"/>
  <c r="A2" i="5"/>
  <c r="T5" i="15"/>
  <c r="D12" i="9"/>
  <c r="P12" i="9"/>
  <c r="D11" i="10"/>
  <c r="P11" i="10"/>
  <c r="D13" i="8"/>
  <c r="P13" i="8"/>
  <c r="P7" i="13"/>
  <c r="D8" i="13"/>
  <c r="D9" i="12"/>
  <c r="P9" i="12"/>
  <c r="D10" i="11"/>
  <c r="P10" i="11"/>
  <c r="D15" i="6"/>
  <c r="P15" i="6"/>
  <c r="D15" i="7"/>
  <c r="P15" i="7"/>
  <c r="F15" i="6"/>
  <c r="D17" i="5"/>
  <c r="P17" i="5"/>
  <c r="D17" i="4"/>
  <c r="P17" i="4"/>
  <c r="D17" i="3"/>
  <c r="P17" i="3"/>
  <c r="D16" i="2"/>
  <c r="P16" i="2"/>
  <c r="D15" i="1"/>
  <c r="P15" i="1"/>
  <c r="N77" i="16"/>
  <c r="M79" i="16"/>
  <c r="M81" i="16"/>
  <c r="M107" i="16"/>
  <c r="N16" i="16"/>
  <c r="M19" i="16"/>
  <c r="M21" i="16"/>
  <c r="M47" i="16"/>
  <c r="N7" i="15"/>
  <c r="B5" i="3"/>
  <c r="L8" i="15"/>
  <c r="M7" i="15"/>
  <c r="A5" i="3"/>
  <c r="I4" i="14"/>
  <c r="H10" i="14"/>
  <c r="AB4" i="15"/>
  <c r="V5" i="15"/>
  <c r="B3" i="5"/>
  <c r="T6" i="15"/>
  <c r="U5" i="15"/>
  <c r="A3" i="5"/>
  <c r="I8" i="15"/>
  <c r="A6" i="2"/>
  <c r="H9" i="15"/>
  <c r="J8" i="15"/>
  <c r="B6" i="2"/>
  <c r="R6" i="15"/>
  <c r="B4" i="4"/>
  <c r="Q6" i="15"/>
  <c r="A4" i="4"/>
  <c r="P7" i="15"/>
  <c r="Z4" i="15"/>
  <c r="B2" i="6"/>
  <c r="X5" i="15"/>
  <c r="Y4" i="15"/>
  <c r="A2" i="6"/>
  <c r="D11" i="11"/>
  <c r="P11" i="11"/>
  <c r="D10" i="12"/>
  <c r="P10" i="12"/>
  <c r="P8" i="13"/>
  <c r="D9" i="13"/>
  <c r="D14" i="8"/>
  <c r="P14" i="8"/>
  <c r="D12" i="10"/>
  <c r="P12" i="10"/>
  <c r="D13" i="9"/>
  <c r="P13" i="9"/>
  <c r="D16" i="7"/>
  <c r="P16" i="7"/>
  <c r="D16" i="6"/>
  <c r="P16" i="6"/>
  <c r="F16" i="6"/>
  <c r="D18" i="5"/>
  <c r="P18" i="5"/>
  <c r="D18" i="4"/>
  <c r="P18" i="4"/>
  <c r="D18" i="3"/>
  <c r="P18" i="3"/>
  <c r="D17" i="2"/>
  <c r="P17" i="2"/>
  <c r="D16" i="1"/>
  <c r="P16" i="1"/>
  <c r="O77" i="16"/>
  <c r="N79" i="16"/>
  <c r="N81" i="16"/>
  <c r="N107" i="16"/>
  <c r="N19" i="16"/>
  <c r="O16" i="16"/>
  <c r="N21" i="16"/>
  <c r="N47" i="16"/>
  <c r="U6" i="15"/>
  <c r="A4" i="5"/>
  <c r="T7" i="15"/>
  <c r="V6" i="15"/>
  <c r="B4" i="5"/>
  <c r="AC4" i="15"/>
  <c r="A2" i="7"/>
  <c r="AD4" i="15"/>
  <c r="B2" i="7"/>
  <c r="AB5" i="15"/>
  <c r="Z5" i="15"/>
  <c r="B3" i="6"/>
  <c r="X6" i="15"/>
  <c r="Y5" i="15"/>
  <c r="A3" i="6"/>
  <c r="Q7" i="15"/>
  <c r="A5" i="4"/>
  <c r="R7" i="15"/>
  <c r="B5" i="4"/>
  <c r="P8" i="15"/>
  <c r="I9" i="15"/>
  <c r="A7" i="2"/>
  <c r="H10" i="15"/>
  <c r="J9" i="15"/>
  <c r="B7" i="2"/>
  <c r="J4" i="14"/>
  <c r="I10" i="14"/>
  <c r="AF4" i="15"/>
  <c r="N8" i="15"/>
  <c r="B6" i="3"/>
  <c r="M8" i="15"/>
  <c r="A6" i="3"/>
  <c r="L9" i="15"/>
  <c r="D14" i="9"/>
  <c r="P14" i="9"/>
  <c r="D13" i="10"/>
  <c r="P13" i="10"/>
  <c r="D15" i="8"/>
  <c r="P15" i="8"/>
  <c r="P9" i="13"/>
  <c r="D10" i="13"/>
  <c r="D11" i="12"/>
  <c r="P11" i="12"/>
  <c r="D12" i="11"/>
  <c r="P12" i="11"/>
  <c r="D17" i="6"/>
  <c r="P17" i="6"/>
  <c r="D17" i="7"/>
  <c r="P17" i="7"/>
  <c r="F17" i="6"/>
  <c r="D19" i="5"/>
  <c r="P19" i="5"/>
  <c r="D19" i="4"/>
  <c r="P19" i="4"/>
  <c r="D19" i="3"/>
  <c r="P19" i="3"/>
  <c r="D18" i="2"/>
  <c r="P18" i="2"/>
  <c r="D17" i="1"/>
  <c r="P17" i="1"/>
  <c r="O79" i="16"/>
  <c r="P77" i="16"/>
  <c r="O81" i="16"/>
  <c r="O107" i="16"/>
  <c r="O19" i="16"/>
  <c r="P16" i="16"/>
  <c r="O21" i="16"/>
  <c r="O47" i="16"/>
  <c r="AF5" i="15"/>
  <c r="AH4" i="15"/>
  <c r="B2" i="8"/>
  <c r="AG4" i="15"/>
  <c r="M9" i="15"/>
  <c r="A7" i="3"/>
  <c r="L10" i="15"/>
  <c r="N9" i="15"/>
  <c r="B7" i="3"/>
  <c r="K4" i="14"/>
  <c r="J10" i="14"/>
  <c r="AJ4" i="15"/>
  <c r="I10" i="15"/>
  <c r="A8" i="2"/>
  <c r="H11" i="15"/>
  <c r="J10" i="15"/>
  <c r="B8" i="2"/>
  <c r="R8" i="15"/>
  <c r="B6" i="4"/>
  <c r="P9" i="15"/>
  <c r="Q8" i="15"/>
  <c r="A6" i="4"/>
  <c r="Z6" i="15"/>
  <c r="B4" i="6"/>
  <c r="X7" i="15"/>
  <c r="Y6" i="15"/>
  <c r="A4" i="6"/>
  <c r="AC5" i="15"/>
  <c r="A3" i="7"/>
  <c r="AB6" i="15"/>
  <c r="AD5" i="15"/>
  <c r="B3" i="7"/>
  <c r="T8" i="15"/>
  <c r="U7" i="15"/>
  <c r="A5" i="5"/>
  <c r="V7" i="15"/>
  <c r="B5" i="5"/>
  <c r="D12" i="12"/>
  <c r="P12" i="12"/>
  <c r="P10" i="13"/>
  <c r="D11" i="13"/>
  <c r="D16" i="8"/>
  <c r="P16" i="8"/>
  <c r="D14" i="10"/>
  <c r="P14" i="10"/>
  <c r="D15" i="9"/>
  <c r="P15" i="9"/>
  <c r="D13" i="11"/>
  <c r="P13" i="11"/>
  <c r="D18" i="7"/>
  <c r="P18" i="7"/>
  <c r="D18" i="6"/>
  <c r="P18" i="6"/>
  <c r="F18" i="6"/>
  <c r="D20" i="5"/>
  <c r="P20" i="5"/>
  <c r="D20" i="4"/>
  <c r="P20" i="4"/>
  <c r="D20" i="3"/>
  <c r="P20" i="3"/>
  <c r="D19" i="2"/>
  <c r="P19" i="2"/>
  <c r="D18" i="1"/>
  <c r="P18" i="1"/>
  <c r="Q77" i="16"/>
  <c r="P79" i="16"/>
  <c r="P81" i="16"/>
  <c r="P107" i="16"/>
  <c r="P19" i="16"/>
  <c r="Q16" i="16"/>
  <c r="P21" i="16"/>
  <c r="P47" i="16"/>
  <c r="V8" i="15"/>
  <c r="B6" i="5"/>
  <c r="T9" i="15"/>
  <c r="U8" i="15"/>
  <c r="A6" i="5"/>
  <c r="AC6" i="15"/>
  <c r="A4" i="7"/>
  <c r="AD6" i="15"/>
  <c r="B4" i="7"/>
  <c r="AB7" i="15"/>
  <c r="R9" i="15"/>
  <c r="B7" i="4"/>
  <c r="Q9" i="15"/>
  <c r="A7" i="4"/>
  <c r="P10" i="15"/>
  <c r="L4" i="14"/>
  <c r="K10" i="14"/>
  <c r="AN4" i="15"/>
  <c r="M10" i="15"/>
  <c r="A8" i="3"/>
  <c r="L11" i="15"/>
  <c r="N10" i="15"/>
  <c r="B8" i="3"/>
  <c r="AF6" i="15"/>
  <c r="AG5" i="15"/>
  <c r="A3" i="8"/>
  <c r="AH5" i="15"/>
  <c r="B3" i="8"/>
  <c r="Y7" i="15"/>
  <c r="A5" i="6"/>
  <c r="Z7" i="15"/>
  <c r="B5" i="6"/>
  <c r="X8" i="15"/>
  <c r="I11" i="15"/>
  <c r="A9" i="2"/>
  <c r="J11" i="15"/>
  <c r="B9" i="2"/>
  <c r="H12" i="15"/>
  <c r="AK4" i="15"/>
  <c r="A2" i="9"/>
  <c r="AL4" i="15"/>
  <c r="B2" i="9"/>
  <c r="AJ5" i="15"/>
  <c r="D14" i="11"/>
  <c r="P14" i="11"/>
  <c r="D16" i="9"/>
  <c r="P16" i="9"/>
  <c r="D15" i="10"/>
  <c r="P15" i="10"/>
  <c r="D17" i="8"/>
  <c r="P17" i="8"/>
  <c r="P11" i="13"/>
  <c r="D12" i="13"/>
  <c r="D13" i="12"/>
  <c r="P13" i="12"/>
  <c r="D19" i="6"/>
  <c r="P19" i="6"/>
  <c r="D19" i="7"/>
  <c r="P19" i="7"/>
  <c r="F19" i="6"/>
  <c r="D21" i="5"/>
  <c r="P21" i="5"/>
  <c r="D21" i="4"/>
  <c r="P21" i="4"/>
  <c r="D21" i="3"/>
  <c r="P21" i="3"/>
  <c r="D20" i="2"/>
  <c r="P20" i="2"/>
  <c r="D19" i="1"/>
  <c r="P19" i="1"/>
  <c r="Q79" i="16"/>
  <c r="R77" i="16"/>
  <c r="Q81" i="16"/>
  <c r="Q107" i="16"/>
  <c r="R16" i="16"/>
  <c r="Q19" i="16"/>
  <c r="Q21" i="16"/>
  <c r="Q47" i="16"/>
  <c r="AK5" i="15"/>
  <c r="A3" i="9"/>
  <c r="AJ6" i="15"/>
  <c r="AL5" i="15"/>
  <c r="B3" i="9"/>
  <c r="Z8" i="15"/>
  <c r="B6" i="6"/>
  <c r="X9" i="15"/>
  <c r="Y8" i="15"/>
  <c r="A6" i="6"/>
  <c r="M4" i="14"/>
  <c r="L10" i="14"/>
  <c r="AR4" i="15"/>
  <c r="AC7" i="15"/>
  <c r="A5" i="7"/>
  <c r="AB8" i="15"/>
  <c r="AD7" i="15"/>
  <c r="B5" i="7"/>
  <c r="V9" i="15"/>
  <c r="B7" i="5"/>
  <c r="U9" i="15"/>
  <c r="A7" i="5"/>
  <c r="T10" i="15"/>
  <c r="I12" i="15"/>
  <c r="A10" i="2"/>
  <c r="J12" i="15"/>
  <c r="B10" i="2"/>
  <c r="H13" i="15"/>
  <c r="AF7" i="15"/>
  <c r="AG6" i="15"/>
  <c r="A4" i="8"/>
  <c r="AH6" i="15"/>
  <c r="B4" i="8"/>
  <c r="N11" i="15"/>
  <c r="B9" i="3"/>
  <c r="M11" i="15"/>
  <c r="A9" i="3"/>
  <c r="L12" i="15"/>
  <c r="AN5" i="15"/>
  <c r="AP4" i="15"/>
  <c r="B2" i="10"/>
  <c r="AO4" i="15"/>
  <c r="A2" i="10"/>
  <c r="Q10" i="15"/>
  <c r="A8" i="4"/>
  <c r="R10" i="15"/>
  <c r="B8" i="4"/>
  <c r="P11" i="15"/>
  <c r="D14" i="12"/>
  <c r="P14" i="12"/>
  <c r="P12" i="13"/>
  <c r="D13" i="13"/>
  <c r="D18" i="8"/>
  <c r="P18" i="8"/>
  <c r="D16" i="10"/>
  <c r="P16" i="10"/>
  <c r="D17" i="9"/>
  <c r="P17" i="9"/>
  <c r="D15" i="11"/>
  <c r="P15" i="11"/>
  <c r="D20" i="7"/>
  <c r="P20" i="7"/>
  <c r="D20" i="6"/>
  <c r="P20" i="6"/>
  <c r="F20" i="6"/>
  <c r="D22" i="5"/>
  <c r="P22" i="5"/>
  <c r="D22" i="4"/>
  <c r="P22" i="4"/>
  <c r="D22" i="3"/>
  <c r="P22" i="3"/>
  <c r="D21" i="2"/>
  <c r="P21" i="2"/>
  <c r="D20" i="1"/>
  <c r="P20" i="1"/>
  <c r="R79" i="16"/>
  <c r="R81" i="16"/>
  <c r="R19" i="16"/>
  <c r="R21" i="16"/>
  <c r="R11" i="15"/>
  <c r="B9" i="4"/>
  <c r="P12" i="15"/>
  <c r="Q11" i="15"/>
  <c r="A9" i="4"/>
  <c r="N12" i="15"/>
  <c r="B10" i="3"/>
  <c r="M12" i="15"/>
  <c r="A10" i="3"/>
  <c r="L13" i="15"/>
  <c r="I13" i="15"/>
  <c r="A11" i="2"/>
  <c r="J13" i="15"/>
  <c r="B11" i="2"/>
  <c r="H14" i="15"/>
  <c r="N4" i="14"/>
  <c r="N10" i="14"/>
  <c r="AV4" i="15"/>
  <c r="M10" i="14"/>
  <c r="Z9" i="15"/>
  <c r="B7" i="6"/>
  <c r="X10" i="15"/>
  <c r="Y9" i="15"/>
  <c r="A7" i="6"/>
  <c r="AO5" i="15"/>
  <c r="A3" i="10"/>
  <c r="AN6" i="15"/>
  <c r="AP5" i="15"/>
  <c r="B3" i="10"/>
  <c r="AG7" i="15"/>
  <c r="A5" i="8"/>
  <c r="AH7" i="15"/>
  <c r="B5" i="8"/>
  <c r="AF8" i="15"/>
  <c r="U10" i="15"/>
  <c r="A8" i="5"/>
  <c r="V10" i="15"/>
  <c r="B8" i="5"/>
  <c r="T11" i="15"/>
  <c r="AD8" i="15"/>
  <c r="B6" i="7"/>
  <c r="AB9" i="15"/>
  <c r="AC8" i="15"/>
  <c r="A6" i="7"/>
  <c r="AS4" i="15"/>
  <c r="A2" i="11"/>
  <c r="AT4" i="15"/>
  <c r="B2" i="11"/>
  <c r="AR5" i="15"/>
  <c r="AL6" i="15"/>
  <c r="B4" i="9"/>
  <c r="AK6" i="15"/>
  <c r="A4" i="9"/>
  <c r="AJ7" i="15"/>
  <c r="D16" i="11"/>
  <c r="P16" i="11"/>
  <c r="D18" i="9"/>
  <c r="P18" i="9"/>
  <c r="D17" i="10"/>
  <c r="P17" i="10"/>
  <c r="D19" i="8"/>
  <c r="P19" i="8"/>
  <c r="P13" i="13"/>
  <c r="D14" i="13"/>
  <c r="D15" i="12"/>
  <c r="P15" i="12"/>
  <c r="D21" i="6"/>
  <c r="P21" i="6"/>
  <c r="D21" i="7"/>
  <c r="P21" i="7"/>
  <c r="F21" i="6"/>
  <c r="D23" i="5"/>
  <c r="P23" i="5"/>
  <c r="D23" i="4"/>
  <c r="P23" i="4"/>
  <c r="D23" i="3"/>
  <c r="P23" i="3"/>
  <c r="D22" i="2"/>
  <c r="P22" i="2"/>
  <c r="D21" i="1"/>
  <c r="P21" i="1"/>
  <c r="AT5" i="15"/>
  <c r="B3" i="11"/>
  <c r="AR6" i="15"/>
  <c r="AS5" i="15"/>
  <c r="A3" i="11"/>
  <c r="AC9" i="15"/>
  <c r="A7" i="7"/>
  <c r="AD9" i="15"/>
  <c r="B7" i="7"/>
  <c r="AB10" i="15"/>
  <c r="T12" i="15"/>
  <c r="U11" i="15"/>
  <c r="A9" i="5"/>
  <c r="V11" i="15"/>
  <c r="B9" i="5"/>
  <c r="Y10" i="15"/>
  <c r="A8" i="6"/>
  <c r="Z10" i="15"/>
  <c r="B8" i="6"/>
  <c r="X11" i="15"/>
  <c r="I14" i="15"/>
  <c r="A12" i="2"/>
  <c r="J14" i="15"/>
  <c r="B12" i="2"/>
  <c r="H15" i="15"/>
  <c r="AL7" i="15"/>
  <c r="B5" i="9"/>
  <c r="AK7" i="15"/>
  <c r="A5" i="9"/>
  <c r="AJ8" i="15"/>
  <c r="AF9" i="15"/>
  <c r="AH8" i="15"/>
  <c r="B6" i="8"/>
  <c r="AG8" i="15"/>
  <c r="A6" i="8"/>
  <c r="AP6" i="15"/>
  <c r="B4" i="10"/>
  <c r="AN7" i="15"/>
  <c r="AO6" i="15"/>
  <c r="A4" i="10"/>
  <c r="AW4" i="15"/>
  <c r="A2" i="12"/>
  <c r="AX4" i="15"/>
  <c r="B2" i="12"/>
  <c r="AV5" i="15"/>
  <c r="N13" i="15"/>
  <c r="B11" i="3"/>
  <c r="M13" i="15"/>
  <c r="A11" i="3"/>
  <c r="L14" i="15"/>
  <c r="R12" i="15"/>
  <c r="B10" i="4"/>
  <c r="P13" i="15"/>
  <c r="Q12" i="15"/>
  <c r="A10" i="4"/>
  <c r="D16" i="12"/>
  <c r="P16" i="12"/>
  <c r="P14" i="13"/>
  <c r="D15" i="13"/>
  <c r="D20" i="8"/>
  <c r="P20" i="8"/>
  <c r="D18" i="10"/>
  <c r="P18" i="10"/>
  <c r="D19" i="9"/>
  <c r="P19" i="9"/>
  <c r="D17" i="11"/>
  <c r="P17" i="11"/>
  <c r="D22" i="7"/>
  <c r="P22" i="7"/>
  <c r="D22" i="6"/>
  <c r="P22" i="6"/>
  <c r="F22" i="6"/>
  <c r="D24" i="5"/>
  <c r="P24" i="5"/>
  <c r="D24" i="4"/>
  <c r="P24" i="4"/>
  <c r="D24" i="3"/>
  <c r="P24" i="3"/>
  <c r="D23" i="2"/>
  <c r="P23" i="2"/>
  <c r="D22" i="1"/>
  <c r="P22" i="1"/>
  <c r="AV6" i="15"/>
  <c r="AX5" i="15"/>
  <c r="B3" i="12"/>
  <c r="AW5" i="15"/>
  <c r="A3" i="12"/>
  <c r="AN8" i="15"/>
  <c r="AP7" i="15"/>
  <c r="B5" i="10"/>
  <c r="AO7" i="15"/>
  <c r="A5" i="10"/>
  <c r="AG9" i="15"/>
  <c r="A7" i="8"/>
  <c r="AF10" i="15"/>
  <c r="AH9" i="15"/>
  <c r="B7" i="8"/>
  <c r="I15" i="15"/>
  <c r="A13" i="2"/>
  <c r="J15" i="15"/>
  <c r="B13" i="2"/>
  <c r="H16" i="15"/>
  <c r="V12" i="15"/>
  <c r="B10" i="5"/>
  <c r="U12" i="15"/>
  <c r="A10" i="5"/>
  <c r="T13" i="15"/>
  <c r="Q13" i="15"/>
  <c r="A11" i="4"/>
  <c r="P14" i="15"/>
  <c r="R13" i="15"/>
  <c r="B11" i="4"/>
  <c r="N14" i="15"/>
  <c r="B12" i="3"/>
  <c r="M14" i="15"/>
  <c r="A12" i="3"/>
  <c r="L15" i="15"/>
  <c r="AL8" i="15"/>
  <c r="B6" i="9"/>
  <c r="AK8" i="15"/>
  <c r="A6" i="9"/>
  <c r="AJ9" i="15"/>
  <c r="X12" i="15"/>
  <c r="Y11" i="15"/>
  <c r="A9" i="6"/>
  <c r="Z11" i="15"/>
  <c r="B9" i="6"/>
  <c r="AC10" i="15"/>
  <c r="A8" i="7"/>
  <c r="AD10" i="15"/>
  <c r="B8" i="7"/>
  <c r="AB11" i="15"/>
  <c r="AR7" i="15"/>
  <c r="AS6" i="15"/>
  <c r="A4" i="11"/>
  <c r="AT6" i="15"/>
  <c r="B4" i="11"/>
  <c r="D18" i="11"/>
  <c r="P18" i="11"/>
  <c r="D20" i="9"/>
  <c r="P20" i="9"/>
  <c r="D19" i="10"/>
  <c r="P19" i="10"/>
  <c r="D21" i="8"/>
  <c r="P21" i="8"/>
  <c r="D17" i="12"/>
  <c r="P17" i="12"/>
  <c r="P15" i="13"/>
  <c r="D16" i="13"/>
  <c r="D23" i="6"/>
  <c r="P23" i="6"/>
  <c r="D23" i="7"/>
  <c r="P23" i="7"/>
  <c r="F23" i="6"/>
  <c r="D25" i="5"/>
  <c r="P25" i="5"/>
  <c r="D25" i="4"/>
  <c r="P25" i="4"/>
  <c r="D25" i="3"/>
  <c r="P25" i="3"/>
  <c r="D24" i="2"/>
  <c r="P24" i="2"/>
  <c r="D23" i="1"/>
  <c r="P23" i="1"/>
  <c r="AT7" i="15"/>
  <c r="B5" i="11"/>
  <c r="AR8" i="15"/>
  <c r="AS7" i="15"/>
  <c r="A5" i="11"/>
  <c r="Z12" i="15"/>
  <c r="B10" i="6"/>
  <c r="Y12" i="15"/>
  <c r="A10" i="6"/>
  <c r="X13" i="15"/>
  <c r="N15" i="15"/>
  <c r="B13" i="3"/>
  <c r="M15" i="15"/>
  <c r="A13" i="3"/>
  <c r="L16" i="15"/>
  <c r="R14" i="15"/>
  <c r="B12" i="4"/>
  <c r="P15" i="15"/>
  <c r="Q14" i="15"/>
  <c r="A12" i="4"/>
  <c r="U13" i="15"/>
  <c r="A11" i="5"/>
  <c r="T14" i="15"/>
  <c r="V13" i="15"/>
  <c r="B11" i="5"/>
  <c r="AV7" i="15"/>
  <c r="AW6" i="15"/>
  <c r="A4" i="12"/>
  <c r="AX6" i="15"/>
  <c r="B4" i="12"/>
  <c r="AC11" i="15"/>
  <c r="A9" i="7"/>
  <c r="AB12" i="15"/>
  <c r="AD11" i="15"/>
  <c r="B9" i="7"/>
  <c r="AJ10" i="15"/>
  <c r="AK9" i="15"/>
  <c r="A7" i="9"/>
  <c r="AL9" i="15"/>
  <c r="B7" i="9"/>
  <c r="I16" i="15"/>
  <c r="A14" i="2"/>
  <c r="J16" i="15"/>
  <c r="B14" i="2"/>
  <c r="H17" i="15"/>
  <c r="AG10" i="15"/>
  <c r="A8" i="8"/>
  <c r="AF11" i="15"/>
  <c r="AH10" i="15"/>
  <c r="B8" i="8"/>
  <c r="AP8" i="15"/>
  <c r="B6" i="10"/>
  <c r="AO8" i="15"/>
  <c r="A6" i="10"/>
  <c r="AN9" i="15"/>
  <c r="P16" i="13"/>
  <c r="D17" i="13"/>
  <c r="D18" i="12"/>
  <c r="P18" i="12"/>
  <c r="D22" i="8"/>
  <c r="P22" i="8"/>
  <c r="D20" i="10"/>
  <c r="P20" i="10"/>
  <c r="D21" i="9"/>
  <c r="P21" i="9"/>
  <c r="D19" i="11"/>
  <c r="P19" i="11"/>
  <c r="D24" i="7"/>
  <c r="P24" i="7"/>
  <c r="D24" i="6"/>
  <c r="P24" i="6"/>
  <c r="F24" i="6"/>
  <c r="D26" i="5"/>
  <c r="P26" i="5"/>
  <c r="D26" i="4"/>
  <c r="P26" i="4"/>
  <c r="D26" i="3"/>
  <c r="P26" i="3"/>
  <c r="D25" i="2"/>
  <c r="P25" i="2"/>
  <c r="D24" i="1"/>
  <c r="P24" i="1"/>
  <c r="AP9" i="15"/>
  <c r="B7" i="10"/>
  <c r="AO9" i="15"/>
  <c r="A7" i="10"/>
  <c r="AN10" i="15"/>
  <c r="AF12" i="15"/>
  <c r="AH11" i="15"/>
  <c r="B9" i="8"/>
  <c r="AG11" i="15"/>
  <c r="A9" i="8"/>
  <c r="I17" i="15"/>
  <c r="A15" i="2"/>
  <c r="J17" i="15"/>
  <c r="B15" i="2"/>
  <c r="H18" i="15"/>
  <c r="Q15" i="15"/>
  <c r="A13" i="4"/>
  <c r="P16" i="15"/>
  <c r="R15" i="15"/>
  <c r="B13" i="4"/>
  <c r="N16" i="15"/>
  <c r="B14" i="3"/>
  <c r="M16" i="15"/>
  <c r="A14" i="3"/>
  <c r="L17" i="15"/>
  <c r="AK10" i="15"/>
  <c r="A8" i="9"/>
  <c r="AL10" i="15"/>
  <c r="B8" i="9"/>
  <c r="AJ11" i="15"/>
  <c r="AD12" i="15"/>
  <c r="B10" i="7"/>
  <c r="AC12" i="15"/>
  <c r="A10" i="7"/>
  <c r="AB13" i="15"/>
  <c r="AW7" i="15"/>
  <c r="A5" i="12"/>
  <c r="AV8" i="15"/>
  <c r="AX7" i="15"/>
  <c r="B5" i="12"/>
  <c r="T15" i="15"/>
  <c r="V14" i="15"/>
  <c r="B12" i="5"/>
  <c r="U14" i="15"/>
  <c r="A12" i="5"/>
  <c r="Y13" i="15"/>
  <c r="A11" i="6"/>
  <c r="Z13" i="15"/>
  <c r="B11" i="6"/>
  <c r="X14" i="15"/>
  <c r="AT8" i="15"/>
  <c r="B6" i="11"/>
  <c r="AS8" i="15"/>
  <c r="A6" i="11"/>
  <c r="AR9" i="15"/>
  <c r="D20" i="11"/>
  <c r="P20" i="11"/>
  <c r="D22" i="9"/>
  <c r="P22" i="9"/>
  <c r="D21" i="10"/>
  <c r="P21" i="10"/>
  <c r="D19" i="12"/>
  <c r="P19" i="12"/>
  <c r="D23" i="8"/>
  <c r="P23" i="8"/>
  <c r="P17" i="13"/>
  <c r="D18" i="13"/>
  <c r="D25" i="6"/>
  <c r="P25" i="6"/>
  <c r="D25" i="7"/>
  <c r="P25" i="7"/>
  <c r="F25" i="6"/>
  <c r="D27" i="5"/>
  <c r="P27" i="5"/>
  <c r="D27" i="4"/>
  <c r="P27" i="4"/>
  <c r="D27" i="3"/>
  <c r="P27" i="3"/>
  <c r="D26" i="2"/>
  <c r="P26" i="2"/>
  <c r="D25" i="1"/>
  <c r="P25" i="1"/>
  <c r="AS9" i="15"/>
  <c r="A7" i="11"/>
  <c r="AT9" i="15"/>
  <c r="B7" i="11"/>
  <c r="AR10" i="15"/>
  <c r="T16" i="15"/>
  <c r="U15" i="15"/>
  <c r="A13" i="5"/>
  <c r="V15" i="15"/>
  <c r="B13" i="5"/>
  <c r="AX8" i="15"/>
  <c r="B6" i="12"/>
  <c r="AV9" i="15"/>
  <c r="AW8" i="15"/>
  <c r="A6" i="12"/>
  <c r="AD13" i="15"/>
  <c r="B11" i="7"/>
  <c r="AC13" i="15"/>
  <c r="A11" i="7"/>
  <c r="AB14" i="15"/>
  <c r="N17" i="15"/>
  <c r="B15" i="3"/>
  <c r="M17" i="15"/>
  <c r="A15" i="3"/>
  <c r="L18" i="15"/>
  <c r="R16" i="15"/>
  <c r="B14" i="4"/>
  <c r="P17" i="15"/>
  <c r="Q16" i="15"/>
  <c r="A14" i="4"/>
  <c r="I18" i="15"/>
  <c r="A16" i="2"/>
  <c r="J18" i="15"/>
  <c r="B16" i="2"/>
  <c r="H19" i="15"/>
  <c r="AP10" i="15"/>
  <c r="B8" i="10"/>
  <c r="AO10" i="15"/>
  <c r="A8" i="10"/>
  <c r="AN11" i="15"/>
  <c r="Z14" i="15"/>
  <c r="B12" i="6"/>
  <c r="X15" i="15"/>
  <c r="Y14" i="15"/>
  <c r="A12" i="6"/>
  <c r="AL11" i="15"/>
  <c r="B9" i="9"/>
  <c r="AK11" i="15"/>
  <c r="A9" i="9"/>
  <c r="AJ12" i="15"/>
  <c r="AG12" i="15"/>
  <c r="A10" i="8"/>
  <c r="AH12" i="15"/>
  <c r="B10" i="8"/>
  <c r="AF13" i="15"/>
  <c r="P18" i="13"/>
  <c r="D19" i="13"/>
  <c r="D24" i="8"/>
  <c r="P24" i="8"/>
  <c r="D20" i="12"/>
  <c r="P20" i="12"/>
  <c r="D22" i="10"/>
  <c r="P22" i="10"/>
  <c r="D23" i="9"/>
  <c r="P23" i="9"/>
  <c r="D21" i="11"/>
  <c r="P21" i="11"/>
  <c r="D26" i="7"/>
  <c r="P26" i="7"/>
  <c r="D26" i="6"/>
  <c r="P26" i="6"/>
  <c r="F26" i="6"/>
  <c r="D28" i="5"/>
  <c r="P28" i="5"/>
  <c r="D28" i="4"/>
  <c r="P28" i="4"/>
  <c r="D28" i="3"/>
  <c r="P28" i="3"/>
  <c r="D27" i="2"/>
  <c r="P27" i="2"/>
  <c r="D26" i="1"/>
  <c r="P26" i="1"/>
  <c r="AH13" i="15"/>
  <c r="B11" i="8"/>
  <c r="AF14" i="15"/>
  <c r="AG13" i="15"/>
  <c r="A11" i="8"/>
  <c r="I19" i="15"/>
  <c r="A17" i="2"/>
  <c r="H20" i="15"/>
  <c r="J19" i="15"/>
  <c r="B17" i="2"/>
  <c r="Q17" i="15"/>
  <c r="A15" i="4"/>
  <c r="P18" i="15"/>
  <c r="R17" i="15"/>
  <c r="B15" i="4"/>
  <c r="N18" i="15"/>
  <c r="B16" i="3"/>
  <c r="M18" i="15"/>
  <c r="A16" i="3"/>
  <c r="L19" i="15"/>
  <c r="AT10" i="15"/>
  <c r="B8" i="11"/>
  <c r="AS10" i="15"/>
  <c r="A8" i="11"/>
  <c r="AR11" i="15"/>
  <c r="AK12" i="15"/>
  <c r="A10" i="9"/>
  <c r="AL12" i="15"/>
  <c r="B10" i="9"/>
  <c r="AJ13" i="15"/>
  <c r="Z15" i="15"/>
  <c r="B13" i="6"/>
  <c r="X16" i="15"/>
  <c r="Y15" i="15"/>
  <c r="A13" i="6"/>
  <c r="AP11" i="15"/>
  <c r="B9" i="10"/>
  <c r="AO11" i="15"/>
  <c r="A9" i="10"/>
  <c r="AN12" i="15"/>
  <c r="AB15" i="15"/>
  <c r="AC14" i="15"/>
  <c r="A12" i="7"/>
  <c r="AD14" i="15"/>
  <c r="B12" i="7"/>
  <c r="AX9" i="15"/>
  <c r="B7" i="12"/>
  <c r="AV10" i="15"/>
  <c r="AW9" i="15"/>
  <c r="A7" i="12"/>
  <c r="U16" i="15"/>
  <c r="A14" i="5"/>
  <c r="V16" i="15"/>
  <c r="B14" i="5"/>
  <c r="T17" i="15"/>
  <c r="D22" i="11"/>
  <c r="P22" i="11"/>
  <c r="D23" i="10"/>
  <c r="P23" i="10"/>
  <c r="D21" i="12"/>
  <c r="P21" i="12"/>
  <c r="D25" i="8"/>
  <c r="P25" i="8"/>
  <c r="D24" i="9"/>
  <c r="P24" i="9"/>
  <c r="P19" i="13"/>
  <c r="D20" i="13"/>
  <c r="D27" i="6"/>
  <c r="P27" i="6"/>
  <c r="D27" i="7"/>
  <c r="P27" i="7"/>
  <c r="F27" i="6"/>
  <c r="D29" i="5"/>
  <c r="P29" i="5"/>
  <c r="D29" i="4"/>
  <c r="P29" i="4"/>
  <c r="D29" i="3"/>
  <c r="P29" i="3"/>
  <c r="D28" i="2"/>
  <c r="P28" i="2"/>
  <c r="D27" i="1"/>
  <c r="P27" i="1"/>
  <c r="T18" i="15"/>
  <c r="V17" i="15"/>
  <c r="B15" i="5"/>
  <c r="U17" i="15"/>
  <c r="A15" i="5"/>
  <c r="AV11" i="15"/>
  <c r="AW10" i="15"/>
  <c r="A8" i="12"/>
  <c r="AX10" i="15"/>
  <c r="B8" i="12"/>
  <c r="AB16" i="15"/>
  <c r="AC15" i="15"/>
  <c r="A13" i="7"/>
  <c r="AD15" i="15"/>
  <c r="B13" i="7"/>
  <c r="AS11" i="15"/>
  <c r="A9" i="11"/>
  <c r="AR12" i="15"/>
  <c r="AT11" i="15"/>
  <c r="B9" i="11"/>
  <c r="I20" i="15"/>
  <c r="A18" i="2"/>
  <c r="J20" i="15"/>
  <c r="B18" i="2"/>
  <c r="H21" i="15"/>
  <c r="AO12" i="15"/>
  <c r="A10" i="10"/>
  <c r="AN13" i="15"/>
  <c r="AP12" i="15"/>
  <c r="B10" i="10"/>
  <c r="Z16" i="15"/>
  <c r="B14" i="6"/>
  <c r="Y16" i="15"/>
  <c r="A14" i="6"/>
  <c r="X17" i="15"/>
  <c r="AK13" i="15"/>
  <c r="A11" i="9"/>
  <c r="AL13" i="15"/>
  <c r="B11" i="9"/>
  <c r="AJ14" i="15"/>
  <c r="M19" i="15"/>
  <c r="A17" i="3"/>
  <c r="L20" i="15"/>
  <c r="N19" i="15"/>
  <c r="B17" i="3"/>
  <c r="R18" i="15"/>
  <c r="B16" i="4"/>
  <c r="P19" i="15"/>
  <c r="Q18" i="15"/>
  <c r="A16" i="4"/>
  <c r="AH14" i="15"/>
  <c r="B12" i="8"/>
  <c r="AG14" i="15"/>
  <c r="A12" i="8"/>
  <c r="AF15" i="15"/>
  <c r="P20" i="13"/>
  <c r="D21" i="13"/>
  <c r="D25" i="9"/>
  <c r="P25" i="9"/>
  <c r="D26" i="8"/>
  <c r="P26" i="8"/>
  <c r="D22" i="12"/>
  <c r="P22" i="12"/>
  <c r="D24" i="10"/>
  <c r="P24" i="10"/>
  <c r="D23" i="11"/>
  <c r="P23" i="11"/>
  <c r="D28" i="7"/>
  <c r="P28" i="7"/>
  <c r="D28" i="6"/>
  <c r="P28" i="6"/>
  <c r="F28" i="6"/>
  <c r="D30" i="5"/>
  <c r="P30" i="5"/>
  <c r="D30" i="4"/>
  <c r="P30" i="4"/>
  <c r="D30" i="3"/>
  <c r="P30" i="3"/>
  <c r="D29" i="2"/>
  <c r="P29" i="2"/>
  <c r="D28" i="1"/>
  <c r="P28" i="1"/>
  <c r="N20" i="15"/>
  <c r="B18" i="3"/>
  <c r="M20" i="15"/>
  <c r="A18" i="3"/>
  <c r="L21" i="15"/>
  <c r="AK14" i="15"/>
  <c r="A12" i="9"/>
  <c r="AL14" i="15"/>
  <c r="B12" i="9"/>
  <c r="AJ15" i="15"/>
  <c r="AV12" i="15"/>
  <c r="AW11" i="15"/>
  <c r="A9" i="12"/>
  <c r="AX11" i="15"/>
  <c r="B9" i="12"/>
  <c r="AG15" i="15"/>
  <c r="A13" i="8"/>
  <c r="AH15" i="15"/>
  <c r="B13" i="8"/>
  <c r="AF16" i="15"/>
  <c r="R19" i="15"/>
  <c r="B17" i="4"/>
  <c r="Q19" i="15"/>
  <c r="A17" i="4"/>
  <c r="P20" i="15"/>
  <c r="X18" i="15"/>
  <c r="Y17" i="15"/>
  <c r="A15" i="6"/>
  <c r="Z17" i="15"/>
  <c r="B15" i="6"/>
  <c r="AP13" i="15"/>
  <c r="B11" i="10"/>
  <c r="AN14" i="15"/>
  <c r="AO13" i="15"/>
  <c r="A11" i="10"/>
  <c r="I21" i="15"/>
  <c r="A19" i="2"/>
  <c r="H22" i="15"/>
  <c r="J21" i="15"/>
  <c r="B19" i="2"/>
  <c r="AR13" i="15"/>
  <c r="AT12" i="15"/>
  <c r="B10" i="11"/>
  <c r="AS12" i="15"/>
  <c r="A10" i="11"/>
  <c r="AB17" i="15"/>
  <c r="AC16" i="15"/>
  <c r="A14" i="7"/>
  <c r="AD16" i="15"/>
  <c r="B14" i="7"/>
  <c r="T19" i="15"/>
  <c r="V18" i="15"/>
  <c r="B16" i="5"/>
  <c r="U18" i="15"/>
  <c r="A16" i="5"/>
  <c r="D24" i="11"/>
  <c r="P24" i="11"/>
  <c r="D25" i="10"/>
  <c r="P25" i="10"/>
  <c r="D23" i="12"/>
  <c r="P23" i="12"/>
  <c r="D27" i="8"/>
  <c r="P27" i="8"/>
  <c r="D26" i="9"/>
  <c r="P26" i="9"/>
  <c r="P21" i="13"/>
  <c r="D22" i="13"/>
  <c r="D29" i="6"/>
  <c r="P29" i="6"/>
  <c r="D29" i="7"/>
  <c r="P29" i="7"/>
  <c r="F29" i="6"/>
  <c r="D31" i="5"/>
  <c r="P31" i="5"/>
  <c r="D31" i="4"/>
  <c r="P31" i="4"/>
  <c r="D31" i="3"/>
  <c r="P31" i="3"/>
  <c r="D30" i="2"/>
  <c r="P30" i="2"/>
  <c r="D29" i="1"/>
  <c r="P29" i="1"/>
  <c r="AC17" i="15"/>
  <c r="A15" i="7"/>
  <c r="AB18" i="15"/>
  <c r="AD17" i="15"/>
  <c r="B15" i="7"/>
  <c r="AO14" i="15"/>
  <c r="A12" i="10"/>
  <c r="AN15" i="15"/>
  <c r="AP14" i="15"/>
  <c r="B12" i="10"/>
  <c r="Z18" i="15"/>
  <c r="B16" i="6"/>
  <c r="X19" i="15"/>
  <c r="Y18" i="15"/>
  <c r="A16" i="6"/>
  <c r="AG16" i="15"/>
  <c r="A14" i="8"/>
  <c r="AF17" i="15"/>
  <c r="AH16" i="15"/>
  <c r="B14" i="8"/>
  <c r="AJ16" i="15"/>
  <c r="AK15" i="15"/>
  <c r="A13" i="9"/>
  <c r="AL15" i="15"/>
  <c r="B13" i="9"/>
  <c r="V19" i="15"/>
  <c r="B17" i="5"/>
  <c r="U19" i="15"/>
  <c r="A17" i="5"/>
  <c r="T20" i="15"/>
  <c r="AT13" i="15"/>
  <c r="B11" i="11"/>
  <c r="AR14" i="15"/>
  <c r="AS13" i="15"/>
  <c r="A11" i="11"/>
  <c r="I22" i="15"/>
  <c r="A20" i="2"/>
  <c r="J22" i="15"/>
  <c r="B20" i="2"/>
  <c r="H23" i="15"/>
  <c r="Q20" i="15"/>
  <c r="A18" i="4"/>
  <c r="R20" i="15"/>
  <c r="B18" i="4"/>
  <c r="P21" i="15"/>
  <c r="AW12" i="15"/>
  <c r="A10" i="12"/>
  <c r="AX12" i="15"/>
  <c r="B10" i="12"/>
  <c r="AV13" i="15"/>
  <c r="M21" i="15"/>
  <c r="A19" i="3"/>
  <c r="L22" i="15"/>
  <c r="N21" i="15"/>
  <c r="B19" i="3"/>
  <c r="P22" i="13"/>
  <c r="D23" i="13"/>
  <c r="D27" i="9"/>
  <c r="P27" i="9"/>
  <c r="D28" i="8"/>
  <c r="P28" i="8"/>
  <c r="D24" i="12"/>
  <c r="P24" i="12"/>
  <c r="D26" i="10"/>
  <c r="P26" i="10"/>
  <c r="D25" i="11"/>
  <c r="P25" i="11"/>
  <c r="D30" i="7"/>
  <c r="P30" i="7"/>
  <c r="D30" i="6"/>
  <c r="P30" i="6"/>
  <c r="F30" i="6"/>
  <c r="D31" i="2"/>
  <c r="P31" i="2"/>
  <c r="D30" i="1"/>
  <c r="P30" i="1"/>
  <c r="N22" i="15"/>
  <c r="B20" i="3"/>
  <c r="M22" i="15"/>
  <c r="A20" i="3"/>
  <c r="L23" i="15"/>
  <c r="AV14" i="15"/>
  <c r="AX13" i="15"/>
  <c r="B11" i="12"/>
  <c r="AW13" i="15"/>
  <c r="A11" i="12"/>
  <c r="I23" i="15"/>
  <c r="A21" i="2"/>
  <c r="J23" i="15"/>
  <c r="B21" i="2"/>
  <c r="H24" i="15"/>
  <c r="AS14" i="15"/>
  <c r="A12" i="11"/>
  <c r="AR15" i="15"/>
  <c r="AT14" i="15"/>
  <c r="B12" i="11"/>
  <c r="V20" i="15"/>
  <c r="B18" i="5"/>
  <c r="U20" i="15"/>
  <c r="A18" i="5"/>
  <c r="T21" i="15"/>
  <c r="Z19" i="15"/>
  <c r="B17" i="6"/>
  <c r="X20" i="15"/>
  <c r="Y19" i="15"/>
  <c r="A17" i="6"/>
  <c r="AB19" i="15"/>
  <c r="AC18" i="15"/>
  <c r="A16" i="7"/>
  <c r="AD18" i="15"/>
  <c r="B16" i="7"/>
  <c r="Q21" i="15"/>
  <c r="A19" i="4"/>
  <c r="R21" i="15"/>
  <c r="B19" i="4"/>
  <c r="P22" i="15"/>
  <c r="AJ17" i="15"/>
  <c r="AK16" i="15"/>
  <c r="A14" i="9"/>
  <c r="AL16" i="15"/>
  <c r="B14" i="9"/>
  <c r="AF18" i="15"/>
  <c r="AG17" i="15"/>
  <c r="A15" i="8"/>
  <c r="AH17" i="15"/>
  <c r="B15" i="8"/>
  <c r="AN16" i="15"/>
  <c r="AP15" i="15"/>
  <c r="B13" i="10"/>
  <c r="AO15" i="15"/>
  <c r="A13" i="10"/>
  <c r="D26" i="11"/>
  <c r="P26" i="11"/>
  <c r="D27" i="10"/>
  <c r="P27" i="10"/>
  <c r="D25" i="12"/>
  <c r="P25" i="12"/>
  <c r="D29" i="8"/>
  <c r="P29" i="8"/>
  <c r="D28" i="9"/>
  <c r="P28" i="9"/>
  <c r="P23" i="13"/>
  <c r="D24" i="13"/>
  <c r="D31" i="6"/>
  <c r="P31" i="6"/>
  <c r="D31" i="7"/>
  <c r="P31" i="7"/>
  <c r="F31" i="6"/>
  <c r="D31" i="1"/>
  <c r="P31" i="1"/>
  <c r="AH18" i="15"/>
  <c r="B16" i="8"/>
  <c r="AF19" i="15"/>
  <c r="AG18" i="15"/>
  <c r="A16" i="8"/>
  <c r="Q22" i="15"/>
  <c r="A20" i="4"/>
  <c r="R22" i="15"/>
  <c r="B20" i="4"/>
  <c r="P23" i="15"/>
  <c r="AO16" i="15"/>
  <c r="A14" i="10"/>
  <c r="AN17" i="15"/>
  <c r="AP16" i="15"/>
  <c r="B14" i="10"/>
  <c r="AK17" i="15"/>
  <c r="A15" i="9"/>
  <c r="AJ18" i="15"/>
  <c r="AL17" i="15"/>
  <c r="B15" i="9"/>
  <c r="AD19" i="15"/>
  <c r="B17" i="7"/>
  <c r="AC19" i="15"/>
  <c r="A17" i="7"/>
  <c r="AB20" i="15"/>
  <c r="Z20" i="15"/>
  <c r="B18" i="6"/>
  <c r="X21" i="15"/>
  <c r="Y20" i="15"/>
  <c r="A18" i="6"/>
  <c r="V21" i="15"/>
  <c r="B19" i="5"/>
  <c r="U21" i="15"/>
  <c r="A19" i="5"/>
  <c r="T22" i="15"/>
  <c r="AT15" i="15"/>
  <c r="B13" i="11"/>
  <c r="AS15" i="15"/>
  <c r="A13" i="11"/>
  <c r="AR16" i="15"/>
  <c r="I24" i="15"/>
  <c r="A22" i="2"/>
  <c r="J24" i="15"/>
  <c r="B22" i="2"/>
  <c r="H25" i="15"/>
  <c r="M23" i="15"/>
  <c r="A21" i="3"/>
  <c r="L24" i="15"/>
  <c r="N23" i="15"/>
  <c r="B21" i="3"/>
  <c r="AV15" i="15"/>
  <c r="AW14" i="15"/>
  <c r="A12" i="12"/>
  <c r="AX14" i="15"/>
  <c r="B12" i="12"/>
  <c r="P24" i="13"/>
  <c r="D25" i="13"/>
  <c r="D29" i="9"/>
  <c r="P29" i="9"/>
  <c r="D30" i="8"/>
  <c r="P30" i="8"/>
  <c r="D26" i="12"/>
  <c r="P26" i="12"/>
  <c r="D28" i="10"/>
  <c r="P28" i="10"/>
  <c r="D27" i="11"/>
  <c r="P27" i="11"/>
  <c r="A2" i="8"/>
  <c r="AX15" i="15"/>
  <c r="B13" i="12"/>
  <c r="AV16" i="15"/>
  <c r="AW15" i="15"/>
  <c r="A13" i="12"/>
  <c r="N24" i="15"/>
  <c r="B22" i="3"/>
  <c r="M24" i="15"/>
  <c r="A22" i="3"/>
  <c r="L25" i="15"/>
  <c r="I25" i="15"/>
  <c r="A23" i="2"/>
  <c r="H26" i="15"/>
  <c r="J25" i="15"/>
  <c r="B23" i="2"/>
  <c r="V22" i="15"/>
  <c r="B20" i="5"/>
  <c r="T23" i="15"/>
  <c r="U22" i="15"/>
  <c r="A20" i="5"/>
  <c r="X22" i="15"/>
  <c r="Y21" i="15"/>
  <c r="A19" i="6"/>
  <c r="Z21" i="15"/>
  <c r="B19" i="6"/>
  <c r="AB21" i="15"/>
  <c r="AC20" i="15"/>
  <c r="A18" i="7"/>
  <c r="AD20" i="15"/>
  <c r="B18" i="7"/>
  <c r="AK18" i="15"/>
  <c r="A16" i="9"/>
  <c r="AL18" i="15"/>
  <c r="B16" i="9"/>
  <c r="AJ19" i="15"/>
  <c r="AS16" i="15"/>
  <c r="A14" i="11"/>
  <c r="AR17" i="15"/>
  <c r="AT16" i="15"/>
  <c r="B14" i="11"/>
  <c r="AN18" i="15"/>
  <c r="AO17" i="15"/>
  <c r="A15" i="10"/>
  <c r="AP17" i="15"/>
  <c r="B15" i="10"/>
  <c r="Q23" i="15"/>
  <c r="A21" i="4"/>
  <c r="R23" i="15"/>
  <c r="B21" i="4"/>
  <c r="P24" i="15"/>
  <c r="AF20" i="15"/>
  <c r="AG19" i="15"/>
  <c r="A17" i="8"/>
  <c r="AH19" i="15"/>
  <c r="B17" i="8"/>
  <c r="D28" i="11"/>
  <c r="P28" i="11"/>
  <c r="D29" i="10"/>
  <c r="P29" i="10"/>
  <c r="D27" i="12"/>
  <c r="P27" i="12"/>
  <c r="D31" i="8"/>
  <c r="P31" i="8"/>
  <c r="D30" i="9"/>
  <c r="P30" i="9"/>
  <c r="P25" i="13"/>
  <c r="D26" i="13"/>
  <c r="R24" i="15"/>
  <c r="B22" i="4"/>
  <c r="P25" i="15"/>
  <c r="Q24" i="15"/>
  <c r="A22" i="4"/>
  <c r="AG20" i="15"/>
  <c r="A18" i="8"/>
  <c r="AF21" i="15"/>
  <c r="AH20" i="15"/>
  <c r="B18" i="8"/>
  <c r="AO18" i="15"/>
  <c r="A16" i="10"/>
  <c r="AN19" i="15"/>
  <c r="AP18" i="15"/>
  <c r="B16" i="10"/>
  <c r="AS17" i="15"/>
  <c r="A15" i="11"/>
  <c r="AR18" i="15"/>
  <c r="AT17" i="15"/>
  <c r="B15" i="11"/>
  <c r="AL19" i="15"/>
  <c r="B17" i="9"/>
  <c r="AK19" i="15"/>
  <c r="A17" i="9"/>
  <c r="AJ20" i="15"/>
  <c r="X23" i="15"/>
  <c r="Z22" i="15"/>
  <c r="B20" i="6"/>
  <c r="Y22" i="15"/>
  <c r="A20" i="6"/>
  <c r="V23" i="15"/>
  <c r="B21" i="5"/>
  <c r="T24" i="15"/>
  <c r="U23" i="15"/>
  <c r="A21" i="5"/>
  <c r="AB22" i="15"/>
  <c r="AC21" i="15"/>
  <c r="A19" i="7"/>
  <c r="AD21" i="15"/>
  <c r="B19" i="7"/>
  <c r="I26" i="15"/>
  <c r="A24" i="2"/>
  <c r="H27" i="15"/>
  <c r="J26" i="15"/>
  <c r="B24" i="2"/>
  <c r="M25" i="15"/>
  <c r="A23" i="3"/>
  <c r="L26" i="15"/>
  <c r="N25" i="15"/>
  <c r="B23" i="3"/>
  <c r="AW16" i="15"/>
  <c r="A14" i="12"/>
  <c r="AX16" i="15"/>
  <c r="B14" i="12"/>
  <c r="AV17" i="15"/>
  <c r="P26" i="13"/>
  <c r="D27" i="13"/>
  <c r="D28" i="12"/>
  <c r="P28" i="12"/>
  <c r="D30" i="10"/>
  <c r="P30" i="10"/>
  <c r="D29" i="11"/>
  <c r="P29" i="11"/>
  <c r="D31" i="9"/>
  <c r="P31" i="9"/>
  <c r="AB23" i="15"/>
  <c r="AC22" i="15"/>
  <c r="A20" i="7"/>
  <c r="AD22" i="15"/>
  <c r="B20" i="7"/>
  <c r="U24" i="15"/>
  <c r="A22" i="5"/>
  <c r="T25" i="15"/>
  <c r="V24" i="15"/>
  <c r="B22" i="5"/>
  <c r="AW17" i="15"/>
  <c r="A15" i="12"/>
  <c r="AX17" i="15"/>
  <c r="B15" i="12"/>
  <c r="AV18" i="15"/>
  <c r="M26" i="15"/>
  <c r="A24" i="3"/>
  <c r="L27" i="15"/>
  <c r="N26" i="15"/>
  <c r="B24" i="3"/>
  <c r="AL20" i="15"/>
  <c r="B18" i="9"/>
  <c r="AJ21" i="15"/>
  <c r="AK20" i="15"/>
  <c r="A18" i="9"/>
  <c r="AS18" i="15"/>
  <c r="A16" i="11"/>
  <c r="AR19" i="15"/>
  <c r="AT18" i="15"/>
  <c r="B16" i="11"/>
  <c r="AH21" i="15"/>
  <c r="B19" i="8"/>
  <c r="AG21" i="15"/>
  <c r="A19" i="8"/>
  <c r="AF22" i="15"/>
  <c r="I27" i="15"/>
  <c r="A25" i="2"/>
  <c r="H28" i="15"/>
  <c r="J27" i="15"/>
  <c r="B25" i="2"/>
  <c r="X24" i="15"/>
  <c r="Z23" i="15"/>
  <c r="B21" i="6"/>
  <c r="Y23" i="15"/>
  <c r="A21" i="6"/>
  <c r="AO19" i="15"/>
  <c r="A17" i="10"/>
  <c r="AP19" i="15"/>
  <c r="B17" i="10"/>
  <c r="AN20" i="15"/>
  <c r="R25" i="15"/>
  <c r="B23" i="4"/>
  <c r="Q25" i="15"/>
  <c r="A23" i="4"/>
  <c r="P26" i="15"/>
  <c r="D30" i="11"/>
  <c r="P30" i="11"/>
  <c r="D31" i="10"/>
  <c r="P31" i="10"/>
  <c r="D29" i="12"/>
  <c r="P29" i="12"/>
  <c r="P27" i="13"/>
  <c r="D28" i="13"/>
  <c r="AN21" i="15"/>
  <c r="AP20" i="15"/>
  <c r="B18" i="10"/>
  <c r="AO20" i="15"/>
  <c r="A18" i="10"/>
  <c r="Q26" i="15"/>
  <c r="A24" i="4"/>
  <c r="R26" i="15"/>
  <c r="B24" i="4"/>
  <c r="P27" i="15"/>
  <c r="Y24" i="15"/>
  <c r="A22" i="6"/>
  <c r="X25" i="15"/>
  <c r="Z24" i="15"/>
  <c r="B22" i="6"/>
  <c r="I28" i="15"/>
  <c r="A26" i="2"/>
  <c r="H29" i="15"/>
  <c r="J28" i="15"/>
  <c r="B26" i="2"/>
  <c r="AG22" i="15"/>
  <c r="A20" i="8"/>
  <c r="AH22" i="15"/>
  <c r="B20" i="8"/>
  <c r="AF23" i="15"/>
  <c r="AR20" i="15"/>
  <c r="AS19" i="15"/>
  <c r="A17" i="11"/>
  <c r="AT19" i="15"/>
  <c r="B17" i="11"/>
  <c r="M27" i="15"/>
  <c r="A25" i="3"/>
  <c r="L28" i="15"/>
  <c r="N27" i="15"/>
  <c r="B25" i="3"/>
  <c r="AW18" i="15"/>
  <c r="A16" i="12"/>
  <c r="AX18" i="15"/>
  <c r="B16" i="12"/>
  <c r="AV19" i="15"/>
  <c r="T26" i="15"/>
  <c r="U25" i="15"/>
  <c r="A23" i="5"/>
  <c r="V25" i="15"/>
  <c r="B23" i="5"/>
  <c r="AC23" i="15"/>
  <c r="A21" i="7"/>
  <c r="AB24" i="15"/>
  <c r="AD23" i="15"/>
  <c r="B21" i="7"/>
  <c r="AJ22" i="15"/>
  <c r="AK21" i="15"/>
  <c r="A19" i="9"/>
  <c r="AL21" i="15"/>
  <c r="B19" i="9"/>
  <c r="P28" i="13"/>
  <c r="D29" i="13"/>
  <c r="D30" i="12"/>
  <c r="P30" i="12"/>
  <c r="D31" i="11"/>
  <c r="P31" i="11"/>
  <c r="K27" i="17"/>
  <c r="AW19" i="15"/>
  <c r="A17" i="12"/>
  <c r="AX19" i="15"/>
  <c r="B17" i="12"/>
  <c r="AV20" i="15"/>
  <c r="M28" i="15"/>
  <c r="A26" i="3"/>
  <c r="L29" i="15"/>
  <c r="N28" i="15"/>
  <c r="B26" i="3"/>
  <c r="AJ23" i="15"/>
  <c r="AK22" i="15"/>
  <c r="A20" i="9"/>
  <c r="AL22" i="15"/>
  <c r="B20" i="9"/>
  <c r="AC24" i="15"/>
  <c r="A22" i="7"/>
  <c r="AB25" i="15"/>
  <c r="AD24" i="15"/>
  <c r="B22" i="7"/>
  <c r="U26" i="15"/>
  <c r="A24" i="5"/>
  <c r="T27" i="15"/>
  <c r="V26" i="15"/>
  <c r="B24" i="5"/>
  <c r="AF24" i="15"/>
  <c r="AG23" i="15"/>
  <c r="A21" i="8"/>
  <c r="AH23" i="15"/>
  <c r="B21" i="8"/>
  <c r="I29" i="15"/>
  <c r="A27" i="2"/>
  <c r="H30" i="15"/>
  <c r="J29" i="15"/>
  <c r="B27" i="2"/>
  <c r="AP21" i="15"/>
  <c r="B19" i="10"/>
  <c r="AN22" i="15"/>
  <c r="AO21" i="15"/>
  <c r="A19" i="10"/>
  <c r="AT20" i="15"/>
  <c r="B18" i="11"/>
  <c r="AS20" i="15"/>
  <c r="A18" i="11"/>
  <c r="AR21" i="15"/>
  <c r="X26" i="15"/>
  <c r="Y25" i="15"/>
  <c r="A23" i="6"/>
  <c r="Z25" i="15"/>
  <c r="B23" i="6"/>
  <c r="Q27" i="15"/>
  <c r="A25" i="4"/>
  <c r="R27" i="15"/>
  <c r="B25" i="4"/>
  <c r="P28" i="15"/>
  <c r="D31" i="12"/>
  <c r="P31" i="12"/>
  <c r="P29" i="13"/>
  <c r="D30" i="13"/>
  <c r="J3" i="1"/>
  <c r="Y26" i="15"/>
  <c r="A24" i="6"/>
  <c r="Z26" i="15"/>
  <c r="B24" i="6"/>
  <c r="X27" i="15"/>
  <c r="I30" i="15"/>
  <c r="A28" i="2"/>
  <c r="J30" i="15"/>
  <c r="B28" i="2"/>
  <c r="H31" i="15"/>
  <c r="AH24" i="15"/>
  <c r="B22" i="8"/>
  <c r="AF25" i="15"/>
  <c r="AG24" i="15"/>
  <c r="A22" i="8"/>
  <c r="V27" i="15"/>
  <c r="B25" i="5"/>
  <c r="U27" i="15"/>
  <c r="A25" i="5"/>
  <c r="T28" i="15"/>
  <c r="P29" i="15"/>
  <c r="Q28" i="15"/>
  <c r="A26" i="4"/>
  <c r="R28" i="15"/>
  <c r="B26" i="4"/>
  <c r="AS21" i="15"/>
  <c r="A19" i="11"/>
  <c r="AR22" i="15"/>
  <c r="AT21" i="15"/>
  <c r="B19" i="11"/>
  <c r="AP22" i="15"/>
  <c r="B20" i="10"/>
  <c r="AO22" i="15"/>
  <c r="A20" i="10"/>
  <c r="AN23" i="15"/>
  <c r="AC25" i="15"/>
  <c r="A23" i="7"/>
  <c r="AB26" i="15"/>
  <c r="AD25" i="15"/>
  <c r="B23" i="7"/>
  <c r="AL23" i="15"/>
  <c r="B21" i="9"/>
  <c r="AJ24" i="15"/>
  <c r="AK23" i="15"/>
  <c r="A21" i="9"/>
  <c r="M29" i="15"/>
  <c r="A27" i="3"/>
  <c r="L30" i="15"/>
  <c r="N29" i="15"/>
  <c r="B27" i="3"/>
  <c r="AW20" i="15"/>
  <c r="A18" i="12"/>
  <c r="AX20" i="15"/>
  <c r="B18" i="12"/>
  <c r="AV21" i="15"/>
  <c r="P30" i="13"/>
  <c r="D31" i="13"/>
  <c r="P31" i="13"/>
  <c r="J4" i="1"/>
  <c r="AK24" i="15"/>
  <c r="A22" i="9"/>
  <c r="AL24" i="15"/>
  <c r="B22" i="9"/>
  <c r="AJ25" i="15"/>
  <c r="T29" i="15"/>
  <c r="U28" i="15"/>
  <c r="A26" i="5"/>
  <c r="V28" i="15"/>
  <c r="B26" i="5"/>
  <c r="AG25" i="15"/>
  <c r="A23" i="8"/>
  <c r="AH25" i="15"/>
  <c r="B23" i="8"/>
  <c r="AF26" i="15"/>
  <c r="I31" i="15"/>
  <c r="A29" i="2"/>
  <c r="H32" i="15"/>
  <c r="J31" i="15"/>
  <c r="B29" i="2"/>
  <c r="AW21" i="15"/>
  <c r="A19" i="12"/>
  <c r="AX21" i="15"/>
  <c r="B19" i="12"/>
  <c r="AV22" i="15"/>
  <c r="M30" i="15"/>
  <c r="A28" i="3"/>
  <c r="L31" i="15"/>
  <c r="N30" i="15"/>
  <c r="B28" i="3"/>
  <c r="AD26" i="15"/>
  <c r="B24" i="7"/>
  <c r="AB27" i="15"/>
  <c r="AC26" i="15"/>
  <c r="A24" i="7"/>
  <c r="AO23" i="15"/>
  <c r="A21" i="10"/>
  <c r="AP23" i="15"/>
  <c r="B21" i="10"/>
  <c r="AN24" i="15"/>
  <c r="AT22" i="15"/>
  <c r="B20" i="11"/>
  <c r="AS22" i="15"/>
  <c r="A20" i="11"/>
  <c r="AR23" i="15"/>
  <c r="R29" i="15"/>
  <c r="B27" i="4"/>
  <c r="Q29" i="15"/>
  <c r="A27" i="4"/>
  <c r="P30" i="15"/>
  <c r="Z27" i="15"/>
  <c r="B25" i="6"/>
  <c r="X28" i="15"/>
  <c r="Y27" i="15"/>
  <c r="A25" i="6"/>
  <c r="J5" i="1"/>
  <c r="Y28" i="15"/>
  <c r="A26" i="6"/>
  <c r="X29" i="15"/>
  <c r="Z28" i="15"/>
  <c r="B26" i="6"/>
  <c r="Q30" i="15"/>
  <c r="A28" i="4"/>
  <c r="R30" i="15"/>
  <c r="B28" i="4"/>
  <c r="P31" i="15"/>
  <c r="AO24" i="15"/>
  <c r="A22" i="10"/>
  <c r="AP24" i="15"/>
  <c r="B22" i="10"/>
  <c r="AN25" i="15"/>
  <c r="AC27" i="15"/>
  <c r="A25" i="7"/>
  <c r="AD27" i="15"/>
  <c r="B25" i="7"/>
  <c r="AB28" i="15"/>
  <c r="U29" i="15"/>
  <c r="A27" i="5"/>
  <c r="V29" i="15"/>
  <c r="B27" i="5"/>
  <c r="T30" i="15"/>
  <c r="AT23" i="15"/>
  <c r="B21" i="11"/>
  <c r="AS23" i="15"/>
  <c r="A21" i="11"/>
  <c r="AR24" i="15"/>
  <c r="M31" i="15"/>
  <c r="A29" i="3"/>
  <c r="L32" i="15"/>
  <c r="N31" i="15"/>
  <c r="B29" i="3"/>
  <c r="AW22" i="15"/>
  <c r="A20" i="12"/>
  <c r="AX22" i="15"/>
  <c r="B20" i="12"/>
  <c r="AV23" i="15"/>
  <c r="I32" i="15"/>
  <c r="A30" i="2"/>
  <c r="H33" i="15"/>
  <c r="J32" i="15"/>
  <c r="B30" i="2"/>
  <c r="AH26" i="15"/>
  <c r="B24" i="8"/>
  <c r="AG26" i="15"/>
  <c r="A24" i="8"/>
  <c r="AF27" i="15"/>
  <c r="AL25" i="15"/>
  <c r="B23" i="9"/>
  <c r="AK25" i="15"/>
  <c r="A23" i="9"/>
  <c r="AJ26" i="15"/>
  <c r="J6" i="1"/>
  <c r="AG27" i="15"/>
  <c r="A25" i="8"/>
  <c r="AF28" i="15"/>
  <c r="AH27" i="15"/>
  <c r="B25" i="8"/>
  <c r="I33" i="15"/>
  <c r="A31" i="2"/>
  <c r="J33" i="15"/>
  <c r="B31" i="2"/>
  <c r="AW23" i="15"/>
  <c r="A21" i="12"/>
  <c r="AX23" i="15"/>
  <c r="B21" i="12"/>
  <c r="AV24" i="15"/>
  <c r="M32" i="15"/>
  <c r="A30" i="3"/>
  <c r="L33" i="15"/>
  <c r="N32" i="15"/>
  <c r="B30" i="3"/>
  <c r="AR25" i="15"/>
  <c r="AS24" i="15"/>
  <c r="A22" i="11"/>
  <c r="AT24" i="15"/>
  <c r="B22" i="11"/>
  <c r="AC28" i="15"/>
  <c r="A26" i="7"/>
  <c r="AD28" i="15"/>
  <c r="B26" i="7"/>
  <c r="AB29" i="15"/>
  <c r="Q31" i="15"/>
  <c r="A29" i="4"/>
  <c r="R31" i="15"/>
  <c r="B29" i="4"/>
  <c r="P32" i="15"/>
  <c r="AJ27" i="15"/>
  <c r="AK26" i="15"/>
  <c r="A24" i="9"/>
  <c r="AL26" i="15"/>
  <c r="B24" i="9"/>
  <c r="U30" i="15"/>
  <c r="A28" i="5"/>
  <c r="V30" i="15"/>
  <c r="B28" i="5"/>
  <c r="T31" i="15"/>
  <c r="AN26" i="15"/>
  <c r="AO25" i="15"/>
  <c r="A23" i="10"/>
  <c r="AP25" i="15"/>
  <c r="B23" i="10"/>
  <c r="Y29" i="15"/>
  <c r="A27" i="6"/>
  <c r="Z29" i="15"/>
  <c r="B27" i="6"/>
  <c r="X30" i="15"/>
  <c r="J7" i="1"/>
  <c r="Z30" i="15"/>
  <c r="B28" i="6"/>
  <c r="Y30" i="15"/>
  <c r="A28" i="6"/>
  <c r="X31" i="15"/>
  <c r="T32" i="15"/>
  <c r="V31" i="15"/>
  <c r="B29" i="5"/>
  <c r="U31" i="15"/>
  <c r="A29" i="5"/>
  <c r="Q32" i="15"/>
  <c r="A30" i="4"/>
  <c r="R32" i="15"/>
  <c r="B30" i="4"/>
  <c r="P33" i="15"/>
  <c r="AR26" i="15"/>
  <c r="AS25" i="15"/>
  <c r="A23" i="11"/>
  <c r="AT25" i="15"/>
  <c r="B23" i="11"/>
  <c r="M33" i="15"/>
  <c r="A31" i="3"/>
  <c r="N33" i="15"/>
  <c r="B31" i="3"/>
  <c r="AP26" i="15"/>
  <c r="B24" i="10"/>
  <c r="AN27" i="15"/>
  <c r="AO26" i="15"/>
  <c r="A24" i="10"/>
  <c r="AK27" i="15"/>
  <c r="A25" i="9"/>
  <c r="AL27" i="15"/>
  <c r="B25" i="9"/>
  <c r="AJ28" i="15"/>
  <c r="AC29" i="15"/>
  <c r="A27" i="7"/>
  <c r="AD29" i="15"/>
  <c r="B27" i="7"/>
  <c r="AB30" i="15"/>
  <c r="AW24" i="15"/>
  <c r="A22" i="12"/>
  <c r="AX24" i="15"/>
  <c r="B22" i="12"/>
  <c r="AV25" i="15"/>
  <c r="AH28" i="15"/>
  <c r="B26" i="8"/>
  <c r="AG28" i="15"/>
  <c r="A26" i="8"/>
  <c r="AF29" i="15"/>
  <c r="J8" i="1"/>
  <c r="M34" i="17"/>
  <c r="P38" i="17"/>
  <c r="P39" i="17"/>
  <c r="R38" i="17"/>
  <c r="R39" i="17"/>
  <c r="S38" i="17"/>
  <c r="S39" i="17"/>
  <c r="AV26" i="15"/>
  <c r="AW25" i="15"/>
  <c r="A23" i="12"/>
  <c r="AX25" i="15"/>
  <c r="B23" i="12"/>
  <c r="AJ29" i="15"/>
  <c r="AK28" i="15"/>
  <c r="A26" i="9"/>
  <c r="AL28" i="15"/>
  <c r="B26" i="9"/>
  <c r="AP27" i="15"/>
  <c r="B25" i="10"/>
  <c r="AO27" i="15"/>
  <c r="A25" i="10"/>
  <c r="AN28" i="15"/>
  <c r="AS26" i="15"/>
  <c r="A24" i="11"/>
  <c r="AR27" i="15"/>
  <c r="AT26" i="15"/>
  <c r="B24" i="11"/>
  <c r="AF30" i="15"/>
  <c r="AH29" i="15"/>
  <c r="B27" i="8"/>
  <c r="AG29" i="15"/>
  <c r="A27" i="8"/>
  <c r="AC30" i="15"/>
  <c r="A28" i="7"/>
  <c r="AD30" i="15"/>
  <c r="B28" i="7"/>
  <c r="AB31" i="15"/>
  <c r="R33" i="15"/>
  <c r="B31" i="4"/>
  <c r="Q33" i="15"/>
  <c r="A31" i="4"/>
  <c r="X32" i="15"/>
  <c r="Z31" i="15"/>
  <c r="B29" i="6"/>
  <c r="Y31" i="15"/>
  <c r="A29" i="6"/>
  <c r="V32" i="15"/>
  <c r="B30" i="5"/>
  <c r="U32" i="15"/>
  <c r="A30" i="5"/>
  <c r="T33" i="15"/>
  <c r="J9" i="1"/>
  <c r="Q38" i="17"/>
  <c r="Q39" i="17"/>
  <c r="O38" i="17"/>
  <c r="O39" i="17"/>
  <c r="P32" i="17"/>
  <c r="P34" i="17"/>
  <c r="I38" i="17"/>
  <c r="I39" i="17"/>
  <c r="H38" i="17"/>
  <c r="H39" i="17"/>
  <c r="U33" i="15"/>
  <c r="A31" i="5"/>
  <c r="V33" i="15"/>
  <c r="B31" i="5"/>
  <c r="X33" i="15"/>
  <c r="Z32" i="15"/>
  <c r="B30" i="6"/>
  <c r="Y32" i="15"/>
  <c r="A30" i="6"/>
  <c r="AG30" i="15"/>
  <c r="A28" i="8"/>
  <c r="AF31" i="15"/>
  <c r="AH30" i="15"/>
  <c r="B28" i="8"/>
  <c r="AT27" i="15"/>
  <c r="B25" i="11"/>
  <c r="AS27" i="15"/>
  <c r="A25" i="11"/>
  <c r="AR28" i="15"/>
  <c r="AP28" i="15"/>
  <c r="B26" i="10"/>
  <c r="AO28" i="15"/>
  <c r="A26" i="10"/>
  <c r="AN29" i="15"/>
  <c r="AW26" i="15"/>
  <c r="A24" i="12"/>
  <c r="AX26" i="15"/>
  <c r="B24" i="12"/>
  <c r="AV27" i="15"/>
  <c r="AC31" i="15"/>
  <c r="A29" i="7"/>
  <c r="AB32" i="15"/>
  <c r="AD31" i="15"/>
  <c r="B29" i="7"/>
  <c r="AK29" i="15"/>
  <c r="A27" i="9"/>
  <c r="AL29" i="15"/>
  <c r="B27" i="9"/>
  <c r="AJ30" i="15"/>
  <c r="J10" i="1"/>
  <c r="J3" i="12"/>
  <c r="J3" i="10"/>
  <c r="J3" i="13"/>
  <c r="J38" i="17"/>
  <c r="J39" i="17"/>
  <c r="J3" i="3"/>
  <c r="AJ31" i="15"/>
  <c r="AK30" i="15"/>
  <c r="A28" i="9"/>
  <c r="AL30" i="15"/>
  <c r="B28" i="9"/>
  <c r="AD32" i="15"/>
  <c r="B30" i="7"/>
  <c r="AC32" i="15"/>
  <c r="A30" i="7"/>
  <c r="AB33" i="15"/>
  <c r="AW27" i="15"/>
  <c r="A25" i="12"/>
  <c r="AX27" i="15"/>
  <c r="B25" i="12"/>
  <c r="AV28" i="15"/>
  <c r="AT28" i="15"/>
  <c r="B26" i="11"/>
  <c r="AS28" i="15"/>
  <c r="A26" i="11"/>
  <c r="AR29" i="15"/>
  <c r="AF32" i="15"/>
  <c r="AG31" i="15"/>
  <c r="A29" i="8"/>
  <c r="AH31" i="15"/>
  <c r="B29" i="8"/>
  <c r="Z33" i="15"/>
  <c r="B31" i="6"/>
  <c r="Y33" i="15"/>
  <c r="A31" i="6"/>
  <c r="AO29" i="15"/>
  <c r="A27" i="10"/>
  <c r="AN30" i="15"/>
  <c r="AP29" i="15"/>
  <c r="B27" i="10"/>
  <c r="J4" i="12"/>
  <c r="J3" i="11"/>
  <c r="J3" i="2"/>
  <c r="J4" i="13"/>
  <c r="J4" i="10"/>
  <c r="J11" i="1"/>
  <c r="K38" i="17"/>
  <c r="K39" i="17"/>
  <c r="AO30" i="15"/>
  <c r="A28" i="10"/>
  <c r="AN31" i="15"/>
  <c r="AP30" i="15"/>
  <c r="B28" i="10"/>
  <c r="AH32" i="15"/>
  <c r="B30" i="8"/>
  <c r="AF33" i="15"/>
  <c r="AG32" i="15"/>
  <c r="A30" i="8"/>
  <c r="AV29" i="15"/>
  <c r="AW28" i="15"/>
  <c r="A26" i="12"/>
  <c r="AX28" i="15"/>
  <c r="B26" i="12"/>
  <c r="AK31" i="15"/>
  <c r="A29" i="9"/>
  <c r="AJ32" i="15"/>
  <c r="AL31" i="15"/>
  <c r="B29" i="9"/>
  <c r="AR30" i="15"/>
  <c r="AT29" i="15"/>
  <c r="B27" i="11"/>
  <c r="AS29" i="15"/>
  <c r="A27" i="11"/>
  <c r="AC33" i="15"/>
  <c r="A31" i="7"/>
  <c r="AD33" i="15"/>
  <c r="B31" i="7"/>
  <c r="J5" i="10"/>
  <c r="J4" i="2"/>
  <c r="J12" i="1"/>
  <c r="J5" i="13"/>
  <c r="J4" i="3"/>
  <c r="J5" i="12"/>
  <c r="J3" i="4"/>
  <c r="J4" i="11"/>
  <c r="L38" i="17"/>
  <c r="L39" i="17"/>
  <c r="AT30" i="15"/>
  <c r="B28" i="11"/>
  <c r="AR31" i="15"/>
  <c r="AS30" i="15"/>
  <c r="A28" i="11"/>
  <c r="AK32" i="15"/>
  <c r="A30" i="9"/>
  <c r="AJ33" i="15"/>
  <c r="AL32" i="15"/>
  <c r="B30" i="9"/>
  <c r="AW29" i="15"/>
  <c r="A27" i="12"/>
  <c r="AX29" i="15"/>
  <c r="B27" i="12"/>
  <c r="AV30" i="15"/>
  <c r="AG33" i="15"/>
  <c r="A31" i="8"/>
  <c r="AH33" i="15"/>
  <c r="B31" i="8"/>
  <c r="AO31" i="15"/>
  <c r="A29" i="10"/>
  <c r="AP31" i="15"/>
  <c r="B29" i="10"/>
  <c r="AN32" i="15"/>
  <c r="J6" i="12"/>
  <c r="J4" i="4"/>
  <c r="J5" i="3"/>
  <c r="J13" i="1"/>
  <c r="J6" i="10"/>
  <c r="J3" i="5"/>
  <c r="J5" i="11"/>
  <c r="J6" i="13"/>
  <c r="J5" i="2"/>
  <c r="J3" i="9"/>
  <c r="M38" i="17"/>
  <c r="M39" i="17"/>
  <c r="J3" i="6"/>
  <c r="AV31" i="15"/>
  <c r="AW30" i="15"/>
  <c r="A28" i="12"/>
  <c r="AX30" i="15"/>
  <c r="B28" i="12"/>
  <c r="AL33" i="15"/>
  <c r="B31" i="9"/>
  <c r="AK33" i="15"/>
  <c r="A31" i="9"/>
  <c r="AN33" i="15"/>
  <c r="AO32" i="15"/>
  <c r="A30" i="10"/>
  <c r="AP32" i="15"/>
  <c r="B30" i="10"/>
  <c r="AR32" i="15"/>
  <c r="AS31" i="15"/>
  <c r="A29" i="11"/>
  <c r="AT31" i="15"/>
  <c r="B29" i="11"/>
  <c r="J4" i="9"/>
  <c r="J7" i="13"/>
  <c r="J6" i="2"/>
  <c r="J6" i="11"/>
  <c r="J4" i="5"/>
  <c r="J7" i="10"/>
  <c r="J14" i="1"/>
  <c r="J6" i="3"/>
  <c r="J5" i="4"/>
  <c r="J7" i="12"/>
  <c r="N38" i="17"/>
  <c r="N39" i="17"/>
  <c r="AS32" i="15"/>
  <c r="A30" i="11"/>
  <c r="AT32" i="15"/>
  <c r="B30" i="11"/>
  <c r="AR33" i="15"/>
  <c r="AW31" i="15"/>
  <c r="A29" i="12"/>
  <c r="AX31" i="15"/>
  <c r="B29" i="12"/>
  <c r="AV32" i="15"/>
  <c r="AP33" i="15"/>
  <c r="AO33" i="15"/>
  <c r="J6" i="4"/>
  <c r="J5" i="5"/>
  <c r="J7" i="11"/>
  <c r="J8" i="12"/>
  <c r="J15" i="1"/>
  <c r="J8" i="10"/>
  <c r="J4" i="6"/>
  <c r="J7" i="2"/>
  <c r="J3" i="7"/>
  <c r="J5" i="9"/>
  <c r="J7" i="3"/>
  <c r="J8" i="13"/>
  <c r="J3" i="8"/>
  <c r="AS33" i="15"/>
  <c r="A31" i="11"/>
  <c r="AT33" i="15"/>
  <c r="B31" i="11"/>
  <c r="AV33" i="15"/>
  <c r="AW32" i="15"/>
  <c r="A30" i="12"/>
  <c r="AX32" i="15"/>
  <c r="B30" i="12"/>
  <c r="J6" i="9"/>
  <c r="J8" i="2"/>
  <c r="J9" i="13"/>
  <c r="J4" i="7"/>
  <c r="J5" i="6"/>
  <c r="J16" i="1"/>
  <c r="J9" i="12"/>
  <c r="J8" i="11"/>
  <c r="J8" i="3"/>
  <c r="J9" i="10"/>
  <c r="J6" i="5"/>
  <c r="J7" i="4"/>
  <c r="AX33" i="15"/>
  <c r="B31" i="12"/>
  <c r="AW33" i="15"/>
  <c r="A31" i="12"/>
  <c r="J17" i="1"/>
  <c r="J8" i="4"/>
  <c r="J10" i="10"/>
  <c r="J9" i="3"/>
  <c r="J9" i="11"/>
  <c r="J10" i="12"/>
  <c r="J6" i="6"/>
  <c r="J5" i="7"/>
  <c r="J10" i="13"/>
  <c r="J7" i="5"/>
  <c r="J4" i="8"/>
  <c r="J9" i="2"/>
  <c r="J7" i="9"/>
  <c r="J10" i="2"/>
  <c r="J6" i="7"/>
  <c r="J7" i="6"/>
  <c r="J8" i="9"/>
  <c r="J5" i="8"/>
  <c r="J8" i="5"/>
  <c r="J11" i="12"/>
  <c r="J10" i="11"/>
  <c r="J10" i="3"/>
  <c r="J11" i="10"/>
  <c r="J11" i="13"/>
  <c r="J9" i="4"/>
  <c r="J18" i="1"/>
  <c r="J19" i="1"/>
  <c r="J10" i="4"/>
  <c r="J11" i="11"/>
  <c r="J12" i="13"/>
  <c r="J11" i="3"/>
  <c r="J12" i="12"/>
  <c r="J9" i="5"/>
  <c r="J6" i="8"/>
  <c r="J8" i="6"/>
  <c r="J11" i="2"/>
  <c r="J12" i="10"/>
  <c r="J9" i="9"/>
  <c r="J7" i="7"/>
  <c r="J10" i="9"/>
  <c r="J8" i="7"/>
  <c r="J13" i="10"/>
  <c r="J9" i="6"/>
  <c r="J7" i="8"/>
  <c r="J13" i="12"/>
  <c r="J12" i="11"/>
  <c r="J20" i="1"/>
  <c r="J12" i="2"/>
  <c r="J10" i="5"/>
  <c r="J12" i="3"/>
  <c r="J13" i="13"/>
  <c r="J11" i="4"/>
  <c r="J14" i="13"/>
  <c r="J13" i="3"/>
  <c r="J13" i="2"/>
  <c r="J12" i="4"/>
  <c r="J11" i="5"/>
  <c r="J21" i="1"/>
  <c r="J13" i="11"/>
  <c r="J14" i="12"/>
  <c r="J8" i="8"/>
  <c r="J10" i="6"/>
  <c r="J14" i="10"/>
  <c r="J9" i="7"/>
  <c r="J11" i="9"/>
  <c r="J10" i="7"/>
  <c r="J11" i="6"/>
  <c r="J12" i="9"/>
  <c r="J15" i="10"/>
  <c r="J15" i="12"/>
  <c r="J14" i="11"/>
  <c r="J12" i="5"/>
  <c r="J14" i="2"/>
  <c r="J14" i="3"/>
  <c r="J9" i="8"/>
  <c r="J22" i="1"/>
  <c r="J13" i="4"/>
  <c r="J15" i="13"/>
  <c r="J14" i="4"/>
  <c r="J10" i="8"/>
  <c r="J15" i="2"/>
  <c r="J13" i="5"/>
  <c r="J16" i="12"/>
  <c r="J13" i="9"/>
  <c r="J12" i="6"/>
  <c r="J16" i="13"/>
  <c r="J23" i="1"/>
  <c r="J15" i="3"/>
  <c r="J15" i="11"/>
  <c r="J16" i="10"/>
  <c r="J11" i="7"/>
  <c r="J14" i="9"/>
  <c r="J12" i="7"/>
  <c r="J17" i="10"/>
  <c r="J16" i="11"/>
  <c r="J16" i="3"/>
  <c r="J24" i="1"/>
  <c r="J17" i="13"/>
  <c r="J13" i="6"/>
  <c r="J17" i="12"/>
  <c r="J14" i="5"/>
  <c r="J16" i="2"/>
  <c r="J11" i="8"/>
  <c r="J15" i="4"/>
  <c r="J12" i="8"/>
  <c r="J25" i="1"/>
  <c r="J16" i="4"/>
  <c r="J15" i="5"/>
  <c r="J18" i="12"/>
  <c r="J14" i="6"/>
  <c r="J18" i="13"/>
  <c r="J17" i="3"/>
  <c r="J18" i="10"/>
  <c r="J13" i="7"/>
  <c r="J15" i="9"/>
  <c r="J17" i="2"/>
  <c r="J17" i="11"/>
  <c r="J14" i="7"/>
  <c r="J19" i="10"/>
  <c r="J18" i="11"/>
  <c r="J18" i="2"/>
  <c r="J16" i="9"/>
  <c r="J18" i="3"/>
  <c r="J19" i="13"/>
  <c r="J19" i="12"/>
  <c r="J16" i="5"/>
  <c r="J17" i="4"/>
  <c r="J13" i="8"/>
  <c r="J15" i="6"/>
  <c r="J26" i="1"/>
  <c r="J16" i="6"/>
  <c r="J18" i="4"/>
  <c r="J20" i="12"/>
  <c r="J20" i="13"/>
  <c r="J27" i="1"/>
  <c r="J14" i="8"/>
  <c r="J19" i="3"/>
  <c r="J17" i="9"/>
  <c r="J19" i="2"/>
  <c r="J19" i="11"/>
  <c r="J15" i="7"/>
  <c r="J17" i="5"/>
  <c r="J20" i="10"/>
  <c r="J18" i="5"/>
  <c r="J20" i="11"/>
  <c r="J20" i="2"/>
  <c r="J21" i="10"/>
  <c r="J16" i="7"/>
  <c r="J18" i="9"/>
  <c r="J15" i="8"/>
  <c r="J28" i="1"/>
  <c r="J21" i="12"/>
  <c r="J17" i="6"/>
  <c r="J20" i="3"/>
  <c r="J21" i="13"/>
  <c r="J19" i="4"/>
  <c r="J22" i="13"/>
  <c r="J17" i="7"/>
  <c r="J20" i="4"/>
  <c r="J21" i="3"/>
  <c r="J18" i="6"/>
  <c r="J22" i="12"/>
  <c r="J29" i="1"/>
  <c r="J16" i="8"/>
  <c r="J21" i="2"/>
  <c r="J21" i="11"/>
  <c r="J19" i="5"/>
  <c r="J19" i="9"/>
  <c r="J22" i="10"/>
  <c r="J20" i="9"/>
  <c r="J22" i="11"/>
  <c r="J23" i="10"/>
  <c r="J22" i="2"/>
  <c r="J17" i="8"/>
  <c r="J30" i="1"/>
  <c r="J19" i="6"/>
  <c r="J22" i="3"/>
  <c r="J20" i="5"/>
  <c r="J23" i="12"/>
  <c r="J21" i="4"/>
  <c r="J18" i="7"/>
  <c r="J23" i="13"/>
  <c r="J24" i="13"/>
  <c r="J23" i="3"/>
  <c r="J19" i="7"/>
  <c r="J22" i="4"/>
  <c r="J24" i="12"/>
  <c r="J21" i="5"/>
  <c r="J23" i="2"/>
  <c r="J24" i="10"/>
  <c r="J20" i="6"/>
  <c r="J31" i="1"/>
  <c r="J18" i="8"/>
  <c r="J23" i="11"/>
  <c r="J21" i="9"/>
  <c r="J19" i="8"/>
  <c r="J22" i="9"/>
  <c r="J20" i="7"/>
  <c r="J24" i="3"/>
  <c r="J24" i="11"/>
  <c r="J21" i="6"/>
  <c r="J25" i="10"/>
  <c r="J24" i="2"/>
  <c r="J22" i="5"/>
  <c r="J25" i="12"/>
  <c r="J23" i="4"/>
  <c r="J25" i="13"/>
  <c r="J26" i="13"/>
  <c r="J26" i="12"/>
  <c r="J24" i="4"/>
  <c r="J23" i="5"/>
  <c r="J25" i="2"/>
  <c r="J26" i="10"/>
  <c r="J22" i="6"/>
  <c r="J25" i="11"/>
  <c r="J25" i="3"/>
  <c r="J21" i="7"/>
  <c r="J20" i="8"/>
  <c r="J23" i="9"/>
  <c r="J22" i="7"/>
  <c r="J26" i="11"/>
  <c r="J21" i="8"/>
  <c r="J26" i="3"/>
  <c r="J23" i="6"/>
  <c r="J25" i="4"/>
  <c r="J27" i="12"/>
  <c r="J27" i="13"/>
  <c r="J24" i="9"/>
  <c r="J27" i="10"/>
  <c r="J26" i="2"/>
  <c r="J24" i="5"/>
  <c r="J25" i="5"/>
  <c r="J27" i="2"/>
  <c r="J28" i="10"/>
  <c r="J25" i="9"/>
  <c r="J28" i="12"/>
  <c r="J24" i="6"/>
  <c r="J22" i="8"/>
  <c r="J28" i="13"/>
  <c r="J26" i="4"/>
  <c r="J27" i="3"/>
  <c r="J27" i="11"/>
  <c r="J23" i="7"/>
  <c r="J24" i="7"/>
  <c r="J29" i="13"/>
  <c r="J23" i="8"/>
  <c r="J28" i="11"/>
  <c r="J27" i="4"/>
  <c r="J25" i="6"/>
  <c r="J29" i="12"/>
  <c r="J28" i="2"/>
  <c r="J26" i="5"/>
  <c r="J28" i="3"/>
  <c r="J26" i="9"/>
  <c r="J29" i="10"/>
  <c r="J30" i="10"/>
  <c r="J27" i="9"/>
  <c r="J26" i="6"/>
  <c r="J29" i="3"/>
  <c r="J27" i="5"/>
  <c r="J29" i="2"/>
  <c r="J30" i="12"/>
  <c r="J28" i="4"/>
  <c r="J29" i="11"/>
  <c r="J24" i="8"/>
  <c r="J30" i="13"/>
  <c r="J25" i="7"/>
  <c r="J31" i="13"/>
  <c r="J25" i="8"/>
  <c r="J30" i="11"/>
  <c r="J27" i="6"/>
  <c r="J28" i="9"/>
  <c r="J31" i="10"/>
  <c r="J26" i="7"/>
  <c r="J29" i="4"/>
  <c r="J31" i="12"/>
  <c r="J30" i="2"/>
  <c r="J28" i="5"/>
  <c r="J30" i="3"/>
  <c r="J30" i="4"/>
  <c r="J28" i="6"/>
  <c r="J29" i="5"/>
  <c r="J31" i="2"/>
  <c r="J31" i="3"/>
  <c r="J27" i="7"/>
  <c r="J29" i="9"/>
  <c r="J31" i="11"/>
  <c r="J26" i="8"/>
  <c r="J28" i="7"/>
  <c r="J30" i="9"/>
  <c r="J31" i="4"/>
  <c r="J27" i="8"/>
  <c r="J30" i="5"/>
  <c r="J29" i="6"/>
  <c r="J30" i="6"/>
  <c r="J31" i="5"/>
  <c r="J28" i="8"/>
  <c r="J31" i="9"/>
  <c r="J29" i="7"/>
  <c r="J29" i="8"/>
  <c r="J30" i="7"/>
  <c r="J31" i="6"/>
  <c r="J31" i="7"/>
  <c r="J30" i="8"/>
  <c r="J31" i="8"/>
  <c r="G14" i="16"/>
  <c r="H14" i="16"/>
  <c r="F23" i="16"/>
  <c r="F24" i="16"/>
  <c r="F25" i="16"/>
  <c r="F26" i="16"/>
  <c r="F27" i="16"/>
  <c r="I14" i="16"/>
  <c r="H23" i="16"/>
  <c r="G23" i="16"/>
  <c r="G24" i="16"/>
  <c r="G25" i="16"/>
  <c r="G26" i="16"/>
  <c r="G27" i="16"/>
  <c r="H25" i="16"/>
  <c r="H26" i="16"/>
  <c r="H27" i="16"/>
  <c r="H24" i="16"/>
  <c r="J14" i="16"/>
  <c r="I23" i="16"/>
  <c r="I24" i="16"/>
  <c r="I25" i="16"/>
  <c r="I26" i="16"/>
  <c r="I27" i="16"/>
  <c r="K14" i="16"/>
  <c r="J23" i="16"/>
  <c r="J25" i="16"/>
  <c r="J26" i="16"/>
  <c r="J27" i="16"/>
  <c r="J24" i="16"/>
  <c r="L14" i="16"/>
  <c r="K23" i="16"/>
  <c r="K24" i="16"/>
  <c r="K25" i="16"/>
  <c r="K26" i="16"/>
  <c r="K27" i="16"/>
  <c r="M14" i="16"/>
  <c r="L23" i="16"/>
  <c r="L25" i="16"/>
  <c r="L26" i="16"/>
  <c r="L27" i="16"/>
  <c r="L24" i="16"/>
  <c r="N14" i="16"/>
  <c r="M23" i="16"/>
  <c r="M24" i="16"/>
  <c r="M25" i="16"/>
  <c r="M26" i="16"/>
  <c r="M27" i="16"/>
  <c r="O14" i="16"/>
  <c r="N23" i="16"/>
  <c r="N25" i="16"/>
  <c r="N26" i="16"/>
  <c r="N27" i="16"/>
  <c r="N24" i="16"/>
  <c r="P14" i="16"/>
  <c r="O23" i="16"/>
  <c r="O24" i="16"/>
  <c r="O25" i="16"/>
  <c r="O26" i="16"/>
  <c r="O27" i="16"/>
  <c r="Q14" i="16"/>
  <c r="P23" i="16"/>
  <c r="P25" i="16"/>
  <c r="P26" i="16"/>
  <c r="P27" i="16"/>
  <c r="P24" i="16"/>
  <c r="R14" i="16"/>
  <c r="R23" i="16"/>
  <c r="Q23" i="16"/>
  <c r="Q24" i="16"/>
  <c r="Q25" i="16"/>
  <c r="Q26" i="16"/>
  <c r="Q27" i="16"/>
  <c r="R25" i="16"/>
  <c r="R26" i="16"/>
  <c r="R27" i="16"/>
  <c r="R24" i="16"/>
  <c r="K2" i="10"/>
  <c r="N2" i="10"/>
  <c r="L2" i="10"/>
  <c r="O2" i="10"/>
  <c r="K3" i="10"/>
  <c r="N3" i="10"/>
  <c r="L3" i="10"/>
  <c r="O3" i="10"/>
  <c r="K4" i="10"/>
  <c r="N4" i="10"/>
  <c r="L4" i="10"/>
  <c r="O4" i="10"/>
  <c r="K5" i="10"/>
  <c r="N5" i="10"/>
  <c r="L5" i="10"/>
  <c r="O5" i="10"/>
  <c r="K6" i="10"/>
  <c r="N6" i="10"/>
  <c r="L6" i="10"/>
  <c r="O6" i="10"/>
  <c r="K7" i="10"/>
  <c r="N7" i="10"/>
  <c r="L7" i="10"/>
  <c r="O7" i="10"/>
  <c r="K8" i="10"/>
  <c r="N8" i="10"/>
  <c r="L8" i="10"/>
  <c r="O8" i="10"/>
  <c r="K9" i="10"/>
  <c r="N9" i="10"/>
  <c r="L9" i="10"/>
  <c r="O9" i="10"/>
  <c r="K10" i="10"/>
  <c r="N10" i="10"/>
  <c r="L10" i="10"/>
  <c r="O10" i="10"/>
  <c r="K11" i="10"/>
  <c r="N11" i="10"/>
  <c r="L11" i="10"/>
  <c r="O11" i="10"/>
  <c r="K12" i="10"/>
  <c r="N12" i="10"/>
  <c r="L12" i="10"/>
  <c r="O12" i="10"/>
  <c r="K13" i="10"/>
  <c r="N13" i="10"/>
  <c r="L13" i="10"/>
  <c r="O13" i="10"/>
  <c r="K14" i="10"/>
  <c r="N14" i="10"/>
  <c r="L14" i="10"/>
  <c r="O14" i="10"/>
  <c r="K15" i="10"/>
  <c r="N15" i="10"/>
  <c r="L15" i="10"/>
  <c r="O15" i="10"/>
  <c r="K16" i="10"/>
  <c r="N16" i="10"/>
  <c r="L16" i="10"/>
  <c r="O16" i="10"/>
  <c r="K17" i="10"/>
  <c r="N17" i="10"/>
  <c r="L17" i="10"/>
  <c r="O17" i="10"/>
  <c r="K18" i="10"/>
  <c r="N18" i="10"/>
  <c r="L18" i="10"/>
  <c r="O18" i="10"/>
  <c r="K19" i="10"/>
  <c r="N19" i="10"/>
  <c r="L19" i="10"/>
  <c r="O19" i="10"/>
  <c r="K20" i="10"/>
  <c r="N20" i="10"/>
  <c r="L20" i="10"/>
  <c r="O20" i="10"/>
  <c r="K21" i="10"/>
  <c r="N21" i="10"/>
  <c r="L21" i="10"/>
  <c r="O21" i="10"/>
  <c r="K22" i="10"/>
  <c r="N22" i="10"/>
  <c r="L22" i="10"/>
  <c r="O22" i="10"/>
  <c r="K23" i="10"/>
  <c r="N23" i="10"/>
  <c r="L23" i="10"/>
  <c r="O23" i="10"/>
  <c r="K24" i="10"/>
  <c r="N24" i="10"/>
  <c r="L24" i="10"/>
  <c r="O24" i="10"/>
  <c r="K25" i="10"/>
  <c r="N25" i="10"/>
  <c r="L25" i="10"/>
  <c r="O25" i="10"/>
  <c r="K26" i="10"/>
  <c r="N26" i="10"/>
  <c r="L26" i="10"/>
  <c r="O26" i="10"/>
  <c r="K27" i="10"/>
  <c r="N27" i="10"/>
  <c r="L27" i="10"/>
  <c r="O27" i="10"/>
  <c r="K28" i="10"/>
  <c r="N28" i="10"/>
  <c r="L28" i="10"/>
  <c r="O28" i="10"/>
  <c r="K29" i="10"/>
  <c r="N29" i="10"/>
  <c r="L29" i="10"/>
  <c r="O29" i="10"/>
  <c r="K30" i="10"/>
  <c r="N30" i="10"/>
  <c r="L30" i="10"/>
  <c r="O30" i="10"/>
  <c r="K6" i="14"/>
  <c r="E2" i="10"/>
  <c r="E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K31" i="10"/>
  <c r="N31" i="10"/>
  <c r="O44" i="16"/>
  <c r="O45" i="16"/>
  <c r="O46" i="16"/>
  <c r="O48" i="16"/>
  <c r="K8" i="14"/>
  <c r="G2" i="10"/>
  <c r="G3" i="10"/>
  <c r="G4" i="10"/>
  <c r="G5" i="10"/>
  <c r="G6" i="10"/>
  <c r="G7" i="10"/>
  <c r="G8" i="10"/>
  <c r="G9" i="10"/>
  <c r="G10" i="10"/>
  <c r="G11" i="10"/>
  <c r="G12" i="10"/>
  <c r="G13" i="10"/>
  <c r="G14" i="10"/>
  <c r="G15" i="10"/>
  <c r="G16" i="10"/>
  <c r="G17" i="10"/>
  <c r="G18" i="10"/>
  <c r="G19" i="10"/>
  <c r="G20" i="10"/>
  <c r="G21" i="10"/>
  <c r="G22" i="10"/>
  <c r="G23" i="10"/>
  <c r="G24" i="10"/>
  <c r="G25" i="10"/>
  <c r="G26" i="10"/>
  <c r="G27" i="10"/>
  <c r="G28" i="10"/>
  <c r="G29" i="10"/>
  <c r="G30" i="10"/>
  <c r="G31" i="10"/>
  <c r="L31" i="10"/>
  <c r="O31" i="10"/>
  <c r="K2" i="11"/>
  <c r="N2" i="11"/>
  <c r="L2" i="11"/>
  <c r="O2" i="11"/>
  <c r="K3" i="11"/>
  <c r="N3" i="11"/>
  <c r="L3" i="11"/>
  <c r="O3" i="11"/>
  <c r="K4" i="11"/>
  <c r="N4" i="11"/>
  <c r="L4" i="11"/>
  <c r="O4" i="11"/>
  <c r="K5" i="11"/>
  <c r="N5" i="11"/>
  <c r="L5" i="11"/>
  <c r="O5" i="11"/>
  <c r="K6" i="11"/>
  <c r="N6" i="11"/>
  <c r="L6" i="11"/>
  <c r="O6" i="11"/>
  <c r="K7" i="11"/>
  <c r="N7" i="11"/>
  <c r="L7" i="11"/>
  <c r="O7" i="11"/>
  <c r="K8" i="11"/>
  <c r="N8" i="11"/>
  <c r="L8" i="11"/>
  <c r="O8" i="11"/>
  <c r="K9" i="11"/>
  <c r="N9" i="11"/>
  <c r="L9" i="11"/>
  <c r="O9" i="11"/>
  <c r="K10" i="11"/>
  <c r="N10" i="11"/>
  <c r="L10" i="11"/>
  <c r="O10" i="11"/>
  <c r="K11" i="11"/>
  <c r="N11" i="11"/>
  <c r="L11" i="11"/>
  <c r="O11" i="11"/>
  <c r="K12" i="11"/>
  <c r="N12" i="11"/>
  <c r="L12" i="11"/>
  <c r="O12" i="11"/>
  <c r="K13" i="11"/>
  <c r="N13" i="11"/>
  <c r="L13" i="11"/>
  <c r="O13" i="11"/>
  <c r="K14" i="11"/>
  <c r="N14" i="11"/>
  <c r="L14" i="11"/>
  <c r="O14" i="11"/>
  <c r="K15" i="11"/>
  <c r="N15" i="11"/>
  <c r="L15" i="11"/>
  <c r="O15" i="11"/>
  <c r="K16" i="11"/>
  <c r="N16" i="11"/>
  <c r="L16" i="11"/>
  <c r="O16" i="11"/>
  <c r="K17" i="11"/>
  <c r="N17" i="11"/>
  <c r="L17" i="11"/>
  <c r="O17" i="11"/>
  <c r="K18" i="11"/>
  <c r="N18" i="11"/>
  <c r="L18" i="11"/>
  <c r="O18" i="11"/>
  <c r="K19" i="11"/>
  <c r="N19" i="11"/>
  <c r="L19" i="11"/>
  <c r="O19" i="11"/>
  <c r="K20" i="11"/>
  <c r="N20" i="11"/>
  <c r="L20" i="11"/>
  <c r="O20" i="11"/>
  <c r="K21" i="11"/>
  <c r="N21" i="11"/>
  <c r="L21" i="11"/>
  <c r="O21" i="11"/>
  <c r="K22" i="11"/>
  <c r="N22" i="11"/>
  <c r="L22" i="11"/>
  <c r="O22" i="11"/>
  <c r="K23" i="11"/>
  <c r="N23" i="11"/>
  <c r="L23" i="11"/>
  <c r="O23" i="11"/>
  <c r="K24" i="11"/>
  <c r="N24" i="11"/>
  <c r="L24" i="11"/>
  <c r="O24" i="11"/>
  <c r="K25" i="11"/>
  <c r="N25" i="11"/>
  <c r="L25" i="11"/>
  <c r="O25" i="11"/>
  <c r="K26" i="11"/>
  <c r="N26" i="11"/>
  <c r="L26" i="11"/>
  <c r="O26" i="11"/>
  <c r="K27" i="11"/>
  <c r="N27" i="11"/>
  <c r="L27" i="11"/>
  <c r="O27" i="11"/>
  <c r="K28" i="11"/>
  <c r="N28" i="11"/>
  <c r="L28" i="11"/>
  <c r="O28" i="11"/>
  <c r="K29" i="11"/>
  <c r="N29" i="11"/>
  <c r="L29" i="11"/>
  <c r="O29" i="11"/>
  <c r="K30" i="11"/>
  <c r="N30" i="11"/>
  <c r="L30" i="11"/>
  <c r="O30" i="11"/>
  <c r="L6" i="14"/>
  <c r="E2" i="11"/>
  <c r="E3" i="11"/>
  <c r="E4" i="11"/>
  <c r="E5" i="1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K31" i="11"/>
  <c r="N31" i="11"/>
  <c r="P44" i="16"/>
  <c r="P45" i="16"/>
  <c r="P46" i="16"/>
  <c r="P48" i="16"/>
  <c r="L8" i="14"/>
  <c r="G2" i="11"/>
  <c r="G3" i="11"/>
  <c r="G4" i="11"/>
  <c r="G5" i="1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L31" i="11"/>
  <c r="O31" i="11"/>
  <c r="K2" i="12"/>
  <c r="N2" i="12"/>
  <c r="L2" i="12"/>
  <c r="O2" i="12"/>
  <c r="K3" i="12"/>
  <c r="N3" i="12"/>
  <c r="L3" i="12"/>
  <c r="O3" i="12"/>
  <c r="K4" i="12"/>
  <c r="N4" i="12"/>
  <c r="L4" i="12"/>
  <c r="O4" i="12"/>
  <c r="K5" i="12"/>
  <c r="N5" i="12"/>
  <c r="L5" i="12"/>
  <c r="O5" i="12"/>
  <c r="K6" i="12"/>
  <c r="N6" i="12"/>
  <c r="L6" i="12"/>
  <c r="O6" i="12"/>
  <c r="K7" i="12"/>
  <c r="N7" i="12"/>
  <c r="L7" i="12"/>
  <c r="O7" i="12"/>
  <c r="K8" i="12"/>
  <c r="N8" i="12"/>
  <c r="L8" i="12"/>
  <c r="O8" i="12"/>
  <c r="K9" i="12"/>
  <c r="N9" i="12"/>
  <c r="L9" i="12"/>
  <c r="O9" i="12"/>
  <c r="K10" i="12"/>
  <c r="N10" i="12"/>
  <c r="L10" i="12"/>
  <c r="O10" i="12"/>
  <c r="K11" i="12"/>
  <c r="N11" i="12"/>
  <c r="L11" i="12"/>
  <c r="O11" i="12"/>
  <c r="K12" i="12"/>
  <c r="N12" i="12"/>
  <c r="L12" i="12"/>
  <c r="O12" i="12"/>
  <c r="K13" i="12"/>
  <c r="N13" i="12"/>
  <c r="L13" i="12"/>
  <c r="O13" i="12"/>
  <c r="K14" i="12"/>
  <c r="N14" i="12"/>
  <c r="L14" i="12"/>
  <c r="O14" i="12"/>
  <c r="K15" i="12"/>
  <c r="N15" i="12"/>
  <c r="L15" i="12"/>
  <c r="O15" i="12"/>
  <c r="K16" i="12"/>
  <c r="N16" i="12"/>
  <c r="L16" i="12"/>
  <c r="O16" i="12"/>
  <c r="K17" i="12"/>
  <c r="N17" i="12"/>
  <c r="L17" i="12"/>
  <c r="O17" i="12"/>
  <c r="K18" i="12"/>
  <c r="N18" i="12"/>
  <c r="L18" i="12"/>
  <c r="O18" i="12"/>
  <c r="K19" i="12"/>
  <c r="N19" i="12"/>
  <c r="L19" i="12"/>
  <c r="O19" i="12"/>
  <c r="K20" i="12"/>
  <c r="N20" i="12"/>
  <c r="L20" i="12"/>
  <c r="O20" i="12"/>
  <c r="K21" i="12"/>
  <c r="N21" i="12"/>
  <c r="L21" i="12"/>
  <c r="O21" i="12"/>
  <c r="K22" i="12"/>
  <c r="N22" i="12"/>
  <c r="L22" i="12"/>
  <c r="O22" i="12"/>
  <c r="K23" i="12"/>
  <c r="N23" i="12"/>
  <c r="L23" i="12"/>
  <c r="O23" i="12"/>
  <c r="K24" i="12"/>
  <c r="N24" i="12"/>
  <c r="L24" i="12"/>
  <c r="O24" i="12"/>
  <c r="K25" i="12"/>
  <c r="N25" i="12"/>
  <c r="L25" i="12"/>
  <c r="O25" i="12"/>
  <c r="K26" i="12"/>
  <c r="N26" i="12"/>
  <c r="L26" i="12"/>
  <c r="O26" i="12"/>
  <c r="K27" i="12"/>
  <c r="N27" i="12"/>
  <c r="L27" i="12"/>
  <c r="O27" i="12"/>
  <c r="K28" i="12"/>
  <c r="N28" i="12"/>
  <c r="L28" i="12"/>
  <c r="O28" i="12"/>
  <c r="K29" i="12"/>
  <c r="N29" i="12"/>
  <c r="L29" i="12"/>
  <c r="O29" i="12"/>
  <c r="K30" i="12"/>
  <c r="N30" i="12"/>
  <c r="L30" i="12"/>
  <c r="O30" i="12"/>
  <c r="M6" i="14"/>
  <c r="E2" i="12"/>
  <c r="E3" i="12"/>
  <c r="E4" i="12"/>
  <c r="E5"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K31" i="12"/>
  <c r="N31" i="12"/>
  <c r="Q44" i="16"/>
  <c r="Q45" i="16"/>
  <c r="Q46" i="16"/>
  <c r="Q48" i="16"/>
  <c r="M8" i="14"/>
  <c r="G2" i="12"/>
  <c r="G3" i="12"/>
  <c r="G4" i="12"/>
  <c r="G5" i="12"/>
  <c r="G6" i="12"/>
  <c r="G7" i="12"/>
  <c r="G8" i="12"/>
  <c r="G9" i="12"/>
  <c r="G10" i="12"/>
  <c r="G11" i="12"/>
  <c r="G12" i="12"/>
  <c r="G13" i="12"/>
  <c r="G14" i="12"/>
  <c r="G15" i="12"/>
  <c r="G16" i="12"/>
  <c r="G17" i="12"/>
  <c r="G18" i="12"/>
  <c r="G19" i="12"/>
  <c r="G20" i="12"/>
  <c r="G21" i="12"/>
  <c r="G22" i="12"/>
  <c r="G23" i="12"/>
  <c r="G24" i="12"/>
  <c r="G25" i="12"/>
  <c r="G26" i="12"/>
  <c r="G27" i="12"/>
  <c r="G28" i="12"/>
  <c r="G29" i="12"/>
  <c r="G30" i="12"/>
  <c r="G31" i="12"/>
  <c r="L31" i="12"/>
  <c r="O31" i="12"/>
  <c r="K2" i="2"/>
  <c r="N2" i="2"/>
  <c r="L2" i="2"/>
  <c r="O2" i="2"/>
  <c r="K3" i="2"/>
  <c r="N3" i="2"/>
  <c r="L3" i="2"/>
  <c r="O3" i="2"/>
  <c r="K4" i="2"/>
  <c r="N4" i="2"/>
  <c r="L4" i="2"/>
  <c r="O4" i="2"/>
  <c r="K5" i="2"/>
  <c r="N5" i="2"/>
  <c r="L5" i="2"/>
  <c r="O5" i="2"/>
  <c r="K6" i="2"/>
  <c r="N6" i="2"/>
  <c r="L6" i="2"/>
  <c r="O6" i="2"/>
  <c r="K7" i="2"/>
  <c r="N7" i="2"/>
  <c r="L7" i="2"/>
  <c r="O7" i="2"/>
  <c r="K8" i="2"/>
  <c r="N8" i="2"/>
  <c r="L8" i="2"/>
  <c r="O8" i="2"/>
  <c r="K9" i="2"/>
  <c r="N9" i="2"/>
  <c r="L9" i="2"/>
  <c r="O9" i="2"/>
  <c r="K10" i="2"/>
  <c r="N10" i="2"/>
  <c r="L10" i="2"/>
  <c r="O10" i="2"/>
  <c r="K11" i="2"/>
  <c r="N11" i="2"/>
  <c r="L11" i="2"/>
  <c r="O11" i="2"/>
  <c r="K12" i="2"/>
  <c r="N12" i="2"/>
  <c r="L12" i="2"/>
  <c r="O12" i="2"/>
  <c r="K13" i="2"/>
  <c r="N13" i="2"/>
  <c r="L13" i="2"/>
  <c r="O13" i="2"/>
  <c r="K14" i="2"/>
  <c r="N14" i="2"/>
  <c r="L14" i="2"/>
  <c r="O14" i="2"/>
  <c r="K15" i="2"/>
  <c r="N15" i="2"/>
  <c r="L15" i="2"/>
  <c r="O15" i="2"/>
  <c r="K16" i="2"/>
  <c r="N16" i="2"/>
  <c r="L16" i="2"/>
  <c r="O16" i="2"/>
  <c r="K17" i="2"/>
  <c r="N17" i="2"/>
  <c r="L17" i="2"/>
  <c r="O17" i="2"/>
  <c r="K18" i="2"/>
  <c r="N18" i="2"/>
  <c r="L18" i="2"/>
  <c r="O18" i="2"/>
  <c r="K19" i="2"/>
  <c r="N19" i="2"/>
  <c r="L19" i="2"/>
  <c r="O19" i="2"/>
  <c r="K20" i="2"/>
  <c r="N20" i="2"/>
  <c r="L20" i="2"/>
  <c r="O20" i="2"/>
  <c r="K21" i="2"/>
  <c r="N21" i="2"/>
  <c r="L21" i="2"/>
  <c r="O21" i="2"/>
  <c r="K22" i="2"/>
  <c r="N22" i="2"/>
  <c r="L22" i="2"/>
  <c r="O22" i="2"/>
  <c r="K23" i="2"/>
  <c r="N23" i="2"/>
  <c r="L23" i="2"/>
  <c r="O23" i="2"/>
  <c r="K24" i="2"/>
  <c r="N24" i="2"/>
  <c r="L24" i="2"/>
  <c r="O24" i="2"/>
  <c r="K25" i="2"/>
  <c r="N25" i="2"/>
  <c r="L25" i="2"/>
  <c r="O25" i="2"/>
  <c r="K26" i="2"/>
  <c r="N26" i="2"/>
  <c r="L26" i="2"/>
  <c r="O26" i="2"/>
  <c r="K27" i="2"/>
  <c r="N27" i="2"/>
  <c r="L27" i="2"/>
  <c r="O27" i="2"/>
  <c r="K28" i="2"/>
  <c r="N28" i="2"/>
  <c r="L28" i="2"/>
  <c r="O28" i="2"/>
  <c r="K29" i="2"/>
  <c r="N29" i="2"/>
  <c r="L29" i="2"/>
  <c r="O29" i="2"/>
  <c r="K30" i="2"/>
  <c r="N30" i="2"/>
  <c r="L30" i="2"/>
  <c r="O30" i="2"/>
  <c r="C6" i="14"/>
  <c r="E2" i="2"/>
  <c r="E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K31" i="2"/>
  <c r="N31" i="2"/>
  <c r="G44" i="16"/>
  <c r="G45" i="16"/>
  <c r="G46" i="16"/>
  <c r="G48" i="16"/>
  <c r="C8" i="14"/>
  <c r="G2" i="2"/>
  <c r="G3" i="2"/>
  <c r="G4" i="2"/>
  <c r="G5" i="2"/>
  <c r="G6" i="2"/>
  <c r="G7" i="2"/>
  <c r="G8" i="2"/>
  <c r="G9" i="2"/>
  <c r="G10" i="2"/>
  <c r="G11" i="2"/>
  <c r="G12" i="2"/>
  <c r="G13" i="2"/>
  <c r="G14" i="2"/>
  <c r="G15" i="2"/>
  <c r="G16" i="2"/>
  <c r="G17" i="2"/>
  <c r="G18" i="2"/>
  <c r="G19" i="2"/>
  <c r="G20" i="2"/>
  <c r="G21" i="2"/>
  <c r="G22" i="2"/>
  <c r="G23" i="2"/>
  <c r="G24" i="2"/>
  <c r="G25" i="2"/>
  <c r="G26" i="2"/>
  <c r="G27" i="2"/>
  <c r="G28" i="2"/>
  <c r="G29" i="2"/>
  <c r="G30" i="2"/>
  <c r="G31" i="2"/>
  <c r="L31" i="2"/>
  <c r="O31" i="2"/>
  <c r="K2" i="3"/>
  <c r="N2" i="3"/>
  <c r="L2" i="3"/>
  <c r="O2" i="3"/>
  <c r="K3" i="3"/>
  <c r="N3" i="3"/>
  <c r="L3" i="3"/>
  <c r="O3" i="3"/>
  <c r="K4" i="3"/>
  <c r="N4" i="3"/>
  <c r="L4" i="3"/>
  <c r="O4" i="3"/>
  <c r="K5" i="3"/>
  <c r="N5" i="3"/>
  <c r="L5" i="3"/>
  <c r="O5" i="3"/>
  <c r="K6" i="3"/>
  <c r="N6" i="3"/>
  <c r="L6" i="3"/>
  <c r="O6" i="3"/>
  <c r="K7" i="3"/>
  <c r="N7" i="3"/>
  <c r="L7" i="3"/>
  <c r="O7" i="3"/>
  <c r="K8" i="3"/>
  <c r="N8" i="3"/>
  <c r="L8" i="3"/>
  <c r="O8" i="3"/>
  <c r="K9" i="3"/>
  <c r="N9" i="3"/>
  <c r="L9" i="3"/>
  <c r="O9" i="3"/>
  <c r="K10" i="3"/>
  <c r="N10" i="3"/>
  <c r="L10" i="3"/>
  <c r="O10" i="3"/>
  <c r="K11" i="3"/>
  <c r="N11" i="3"/>
  <c r="L11" i="3"/>
  <c r="O11" i="3"/>
  <c r="K12" i="3"/>
  <c r="N12" i="3"/>
  <c r="L12" i="3"/>
  <c r="O12" i="3"/>
  <c r="K13" i="3"/>
  <c r="N13" i="3"/>
  <c r="L13" i="3"/>
  <c r="O13" i="3"/>
  <c r="K14" i="3"/>
  <c r="N14" i="3"/>
  <c r="L14" i="3"/>
  <c r="O14" i="3"/>
  <c r="K15" i="3"/>
  <c r="N15" i="3"/>
  <c r="L15" i="3"/>
  <c r="O15" i="3"/>
  <c r="K16" i="3"/>
  <c r="N16" i="3"/>
  <c r="L16" i="3"/>
  <c r="O16" i="3"/>
  <c r="K17" i="3"/>
  <c r="N17" i="3"/>
  <c r="L17" i="3"/>
  <c r="O17" i="3"/>
  <c r="K18" i="3"/>
  <c r="N18" i="3"/>
  <c r="L18" i="3"/>
  <c r="O18" i="3"/>
  <c r="K19" i="3"/>
  <c r="N19" i="3"/>
  <c r="L19" i="3"/>
  <c r="O19" i="3"/>
  <c r="K20" i="3"/>
  <c r="N20" i="3"/>
  <c r="L20" i="3"/>
  <c r="O20" i="3"/>
  <c r="K21" i="3"/>
  <c r="N21" i="3"/>
  <c r="L21" i="3"/>
  <c r="O21" i="3"/>
  <c r="K22" i="3"/>
  <c r="N22" i="3"/>
  <c r="L22" i="3"/>
  <c r="O22" i="3"/>
  <c r="K23" i="3"/>
  <c r="N23" i="3"/>
  <c r="L23" i="3"/>
  <c r="O23" i="3"/>
  <c r="K24" i="3"/>
  <c r="N24" i="3"/>
  <c r="L24" i="3"/>
  <c r="O24" i="3"/>
  <c r="K25" i="3"/>
  <c r="N25" i="3"/>
  <c r="L25" i="3"/>
  <c r="O25" i="3"/>
  <c r="K26" i="3"/>
  <c r="N26" i="3"/>
  <c r="L26" i="3"/>
  <c r="O26" i="3"/>
  <c r="K27" i="3"/>
  <c r="N27" i="3"/>
  <c r="L27" i="3"/>
  <c r="O27" i="3"/>
  <c r="K28" i="3"/>
  <c r="N28" i="3"/>
  <c r="L28" i="3"/>
  <c r="O28" i="3"/>
  <c r="K29" i="3"/>
  <c r="N29" i="3"/>
  <c r="L29" i="3"/>
  <c r="O29" i="3"/>
  <c r="K30" i="3"/>
  <c r="N30" i="3"/>
  <c r="L30" i="3"/>
  <c r="O30" i="3"/>
  <c r="D6" i="14"/>
  <c r="E2" i="3"/>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K31" i="3"/>
  <c r="N31" i="3"/>
  <c r="H44" i="16"/>
  <c r="H45" i="16"/>
  <c r="H46" i="16"/>
  <c r="H48" i="16"/>
  <c r="D8" i="14"/>
  <c r="G2" i="3"/>
  <c r="G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L31" i="3"/>
  <c r="O31" i="3"/>
  <c r="K2" i="4"/>
  <c r="N2" i="4"/>
  <c r="L2" i="4"/>
  <c r="O2" i="4"/>
  <c r="K3" i="4"/>
  <c r="N3" i="4"/>
  <c r="L3" i="4"/>
  <c r="O3" i="4"/>
  <c r="K4" i="4"/>
  <c r="N4" i="4"/>
  <c r="L4" i="4"/>
  <c r="O4" i="4"/>
  <c r="K5" i="4"/>
  <c r="N5" i="4"/>
  <c r="L5" i="4"/>
  <c r="O5" i="4"/>
  <c r="K6" i="4"/>
  <c r="N6" i="4"/>
  <c r="L6" i="4"/>
  <c r="O6" i="4"/>
  <c r="K7" i="4"/>
  <c r="N7" i="4"/>
  <c r="L7" i="4"/>
  <c r="O7" i="4"/>
  <c r="K8" i="4"/>
  <c r="N8" i="4"/>
  <c r="L8" i="4"/>
  <c r="O8" i="4"/>
  <c r="K9" i="4"/>
  <c r="N9" i="4"/>
  <c r="L9" i="4"/>
  <c r="O9" i="4"/>
  <c r="K10" i="4"/>
  <c r="N10" i="4"/>
  <c r="L10" i="4"/>
  <c r="O10" i="4"/>
  <c r="K11" i="4"/>
  <c r="N11" i="4"/>
  <c r="L11" i="4"/>
  <c r="O11" i="4"/>
  <c r="K12" i="4"/>
  <c r="N12" i="4"/>
  <c r="L12" i="4"/>
  <c r="O12" i="4"/>
  <c r="K13" i="4"/>
  <c r="N13" i="4"/>
  <c r="L13" i="4"/>
  <c r="O13" i="4"/>
  <c r="K14" i="4"/>
  <c r="N14" i="4"/>
  <c r="L14" i="4"/>
  <c r="O14" i="4"/>
  <c r="K15" i="4"/>
  <c r="N15" i="4"/>
  <c r="L15" i="4"/>
  <c r="O15" i="4"/>
  <c r="K16" i="4"/>
  <c r="N16" i="4"/>
  <c r="L16" i="4"/>
  <c r="O16" i="4"/>
  <c r="K17" i="4"/>
  <c r="N17" i="4"/>
  <c r="L17" i="4"/>
  <c r="O17" i="4"/>
  <c r="K18" i="4"/>
  <c r="N18" i="4"/>
  <c r="L18" i="4"/>
  <c r="O18" i="4"/>
  <c r="K19" i="4"/>
  <c r="N19" i="4"/>
  <c r="L19" i="4"/>
  <c r="O19" i="4"/>
  <c r="K20" i="4"/>
  <c r="N20" i="4"/>
  <c r="L20" i="4"/>
  <c r="O20" i="4"/>
  <c r="K21" i="4"/>
  <c r="N21" i="4"/>
  <c r="L21" i="4"/>
  <c r="O21" i="4"/>
  <c r="K22" i="4"/>
  <c r="N22" i="4"/>
  <c r="L22" i="4"/>
  <c r="O22" i="4"/>
  <c r="K23" i="4"/>
  <c r="N23" i="4"/>
  <c r="L23" i="4"/>
  <c r="O23" i="4"/>
  <c r="K24" i="4"/>
  <c r="N24" i="4"/>
  <c r="L24" i="4"/>
  <c r="O24" i="4"/>
  <c r="K25" i="4"/>
  <c r="N25" i="4"/>
  <c r="L25" i="4"/>
  <c r="O25" i="4"/>
  <c r="K26" i="4"/>
  <c r="N26" i="4"/>
  <c r="L26" i="4"/>
  <c r="O26" i="4"/>
  <c r="K27" i="4"/>
  <c r="N27" i="4"/>
  <c r="L27" i="4"/>
  <c r="O27" i="4"/>
  <c r="K28" i="4"/>
  <c r="N28" i="4"/>
  <c r="L28" i="4"/>
  <c r="O28" i="4"/>
  <c r="K29" i="4"/>
  <c r="N29" i="4"/>
  <c r="L29" i="4"/>
  <c r="O29" i="4"/>
  <c r="K30" i="4"/>
  <c r="N30" i="4"/>
  <c r="L30" i="4"/>
  <c r="O30" i="4"/>
  <c r="E6" i="14"/>
  <c r="E2" i="4"/>
  <c r="E3" i="4"/>
  <c r="E4" i="4"/>
  <c r="E5" i="4"/>
  <c r="E6" i="4"/>
  <c r="E7" i="4"/>
  <c r="E8" i="4"/>
  <c r="E9" i="4"/>
  <c r="E10" i="4"/>
  <c r="E11" i="4"/>
  <c r="E12" i="4"/>
  <c r="E13" i="4"/>
  <c r="E14" i="4"/>
  <c r="E15" i="4"/>
  <c r="E16" i="4"/>
  <c r="E17" i="4"/>
  <c r="E18" i="4"/>
  <c r="E19" i="4"/>
  <c r="E20" i="4"/>
  <c r="E21" i="4"/>
  <c r="E22" i="4"/>
  <c r="E23" i="4"/>
  <c r="E24" i="4"/>
  <c r="E25" i="4"/>
  <c r="E26" i="4"/>
  <c r="E27" i="4"/>
  <c r="E28" i="4"/>
  <c r="E29" i="4"/>
  <c r="E30" i="4"/>
  <c r="E31" i="4"/>
  <c r="K31" i="4"/>
  <c r="N31" i="4"/>
  <c r="I44" i="16"/>
  <c r="I45" i="16"/>
  <c r="I46" i="16"/>
  <c r="I48" i="16"/>
  <c r="E8" i="14"/>
  <c r="G2" i="4"/>
  <c r="G3" i="4"/>
  <c r="G4" i="4"/>
  <c r="G5" i="4"/>
  <c r="G6" i="4"/>
  <c r="G7" i="4"/>
  <c r="G8" i="4"/>
  <c r="G9" i="4"/>
  <c r="G10" i="4"/>
  <c r="G11" i="4"/>
  <c r="G12" i="4"/>
  <c r="G13" i="4"/>
  <c r="G14" i="4"/>
  <c r="G15" i="4"/>
  <c r="G16" i="4"/>
  <c r="G17" i="4"/>
  <c r="G18" i="4"/>
  <c r="G19" i="4"/>
  <c r="G20" i="4"/>
  <c r="G21" i="4"/>
  <c r="G22" i="4"/>
  <c r="G23" i="4"/>
  <c r="G24" i="4"/>
  <c r="G25" i="4"/>
  <c r="G26" i="4"/>
  <c r="G27" i="4"/>
  <c r="G28" i="4"/>
  <c r="G29" i="4"/>
  <c r="G30" i="4"/>
  <c r="G31" i="4"/>
  <c r="L31" i="4"/>
  <c r="O31" i="4"/>
  <c r="K2" i="5"/>
  <c r="N2" i="5"/>
  <c r="L2" i="5"/>
  <c r="O2" i="5"/>
  <c r="K3" i="5"/>
  <c r="N3" i="5"/>
  <c r="L3" i="5"/>
  <c r="O3" i="5"/>
  <c r="K4" i="5"/>
  <c r="N4" i="5"/>
  <c r="L4" i="5"/>
  <c r="O4" i="5"/>
  <c r="K5" i="5"/>
  <c r="N5" i="5"/>
  <c r="L5" i="5"/>
  <c r="O5" i="5"/>
  <c r="K6" i="5"/>
  <c r="N6" i="5"/>
  <c r="L6" i="5"/>
  <c r="O6" i="5"/>
  <c r="K7" i="5"/>
  <c r="N7" i="5"/>
  <c r="L7" i="5"/>
  <c r="O7" i="5"/>
  <c r="K8" i="5"/>
  <c r="N8" i="5"/>
  <c r="L8" i="5"/>
  <c r="O8" i="5"/>
  <c r="K9" i="5"/>
  <c r="N9" i="5"/>
  <c r="L9" i="5"/>
  <c r="O9" i="5"/>
  <c r="K10" i="5"/>
  <c r="N10" i="5"/>
  <c r="L10" i="5"/>
  <c r="O10" i="5"/>
  <c r="K11" i="5"/>
  <c r="N11" i="5"/>
  <c r="L11" i="5"/>
  <c r="O11" i="5"/>
  <c r="K12" i="5"/>
  <c r="N12" i="5"/>
  <c r="L12" i="5"/>
  <c r="O12" i="5"/>
  <c r="K13" i="5"/>
  <c r="N13" i="5"/>
  <c r="L13" i="5"/>
  <c r="O13" i="5"/>
  <c r="K14" i="5"/>
  <c r="N14" i="5"/>
  <c r="L14" i="5"/>
  <c r="O14" i="5"/>
  <c r="K15" i="5"/>
  <c r="N15" i="5"/>
  <c r="L15" i="5"/>
  <c r="O15" i="5"/>
  <c r="K16" i="5"/>
  <c r="N16" i="5"/>
  <c r="L16" i="5"/>
  <c r="O16" i="5"/>
  <c r="K17" i="5"/>
  <c r="N17" i="5"/>
  <c r="L17" i="5"/>
  <c r="O17" i="5"/>
  <c r="K18" i="5"/>
  <c r="N18" i="5"/>
  <c r="L18" i="5"/>
  <c r="O18" i="5"/>
  <c r="K19" i="5"/>
  <c r="N19" i="5"/>
  <c r="L19" i="5"/>
  <c r="O19" i="5"/>
  <c r="K20" i="5"/>
  <c r="N20" i="5"/>
  <c r="L20" i="5"/>
  <c r="O20" i="5"/>
  <c r="K21" i="5"/>
  <c r="N21" i="5"/>
  <c r="L21" i="5"/>
  <c r="O21" i="5"/>
  <c r="K22" i="5"/>
  <c r="N22" i="5"/>
  <c r="L22" i="5"/>
  <c r="O22" i="5"/>
  <c r="K23" i="5"/>
  <c r="N23" i="5"/>
  <c r="L23" i="5"/>
  <c r="O23" i="5"/>
  <c r="K24" i="5"/>
  <c r="N24" i="5"/>
  <c r="L24" i="5"/>
  <c r="O24" i="5"/>
  <c r="K25" i="5"/>
  <c r="N25" i="5"/>
  <c r="L25" i="5"/>
  <c r="O25" i="5"/>
  <c r="K26" i="5"/>
  <c r="N26" i="5"/>
  <c r="L26" i="5"/>
  <c r="O26" i="5"/>
  <c r="K27" i="5"/>
  <c r="N27" i="5"/>
  <c r="L27" i="5"/>
  <c r="O27" i="5"/>
  <c r="K28" i="5"/>
  <c r="N28" i="5"/>
  <c r="L28" i="5"/>
  <c r="O28" i="5"/>
  <c r="K29" i="5"/>
  <c r="N29" i="5"/>
  <c r="L29" i="5"/>
  <c r="O29" i="5"/>
  <c r="K30" i="5"/>
  <c r="N30" i="5"/>
  <c r="L30" i="5"/>
  <c r="O30" i="5"/>
  <c r="F6" i="14"/>
  <c r="E2" i="5"/>
  <c r="E3" i="5"/>
  <c r="E4" i="5"/>
  <c r="E5" i="5"/>
  <c r="E6" i="5"/>
  <c r="E7" i="5"/>
  <c r="E8" i="5"/>
  <c r="E9" i="5"/>
  <c r="E10" i="5"/>
  <c r="E11" i="5"/>
  <c r="E12" i="5"/>
  <c r="E13" i="5"/>
  <c r="E14" i="5"/>
  <c r="E15" i="5"/>
  <c r="E16" i="5"/>
  <c r="E17" i="5"/>
  <c r="E18" i="5"/>
  <c r="E19" i="5"/>
  <c r="E20" i="5"/>
  <c r="E21" i="5"/>
  <c r="E22" i="5"/>
  <c r="E23" i="5"/>
  <c r="E24" i="5"/>
  <c r="E25" i="5"/>
  <c r="E26" i="5"/>
  <c r="E27" i="5"/>
  <c r="E28" i="5"/>
  <c r="E29" i="5"/>
  <c r="E30" i="5"/>
  <c r="E31" i="5"/>
  <c r="K31" i="5"/>
  <c r="N31" i="5"/>
  <c r="J44" i="16"/>
  <c r="J45" i="16"/>
  <c r="J46" i="16"/>
  <c r="J48" i="16"/>
  <c r="F8" i="14"/>
  <c r="G2" i="5"/>
  <c r="G3" i="5"/>
  <c r="G4" i="5"/>
  <c r="G5" i="5"/>
  <c r="G6" i="5"/>
  <c r="G7" i="5"/>
  <c r="G8" i="5"/>
  <c r="G9" i="5"/>
  <c r="G10" i="5"/>
  <c r="G11" i="5"/>
  <c r="G12" i="5"/>
  <c r="G13" i="5"/>
  <c r="G14" i="5"/>
  <c r="G15" i="5"/>
  <c r="G16" i="5"/>
  <c r="G17" i="5"/>
  <c r="G18" i="5"/>
  <c r="G19" i="5"/>
  <c r="G20" i="5"/>
  <c r="G21" i="5"/>
  <c r="G22" i="5"/>
  <c r="G23" i="5"/>
  <c r="G24" i="5"/>
  <c r="G25" i="5"/>
  <c r="G26" i="5"/>
  <c r="G27" i="5"/>
  <c r="G28" i="5"/>
  <c r="G29" i="5"/>
  <c r="G30" i="5"/>
  <c r="G31" i="5"/>
  <c r="L31" i="5"/>
  <c r="O31" i="5"/>
  <c r="K2" i="6"/>
  <c r="N2" i="6"/>
  <c r="L2" i="6"/>
  <c r="O2" i="6"/>
  <c r="K3" i="6"/>
  <c r="N3" i="6"/>
  <c r="L3" i="6"/>
  <c r="O3" i="6"/>
  <c r="K4" i="6"/>
  <c r="N4" i="6"/>
  <c r="L4" i="6"/>
  <c r="O4" i="6"/>
  <c r="K5" i="6"/>
  <c r="N5" i="6"/>
  <c r="L5" i="6"/>
  <c r="O5" i="6"/>
  <c r="K6" i="6"/>
  <c r="N6" i="6"/>
  <c r="L6" i="6"/>
  <c r="O6" i="6"/>
  <c r="K7" i="6"/>
  <c r="N7" i="6"/>
  <c r="L7" i="6"/>
  <c r="O7" i="6"/>
  <c r="K8" i="6"/>
  <c r="N8" i="6"/>
  <c r="L8" i="6"/>
  <c r="O8" i="6"/>
  <c r="K9" i="6"/>
  <c r="N9" i="6"/>
  <c r="L9" i="6"/>
  <c r="O9" i="6"/>
  <c r="K10" i="6"/>
  <c r="N10" i="6"/>
  <c r="L10" i="6"/>
  <c r="O10" i="6"/>
  <c r="K11" i="6"/>
  <c r="N11" i="6"/>
  <c r="L11" i="6"/>
  <c r="O11" i="6"/>
  <c r="K12" i="6"/>
  <c r="N12" i="6"/>
  <c r="L12" i="6"/>
  <c r="O12" i="6"/>
  <c r="K13" i="6"/>
  <c r="N13" i="6"/>
  <c r="L13" i="6"/>
  <c r="O13" i="6"/>
  <c r="K14" i="6"/>
  <c r="N14" i="6"/>
  <c r="L14" i="6"/>
  <c r="O14" i="6"/>
  <c r="K15" i="6"/>
  <c r="N15" i="6"/>
  <c r="L15" i="6"/>
  <c r="O15" i="6"/>
  <c r="K16" i="6"/>
  <c r="N16" i="6"/>
  <c r="L16" i="6"/>
  <c r="O16" i="6"/>
  <c r="K17" i="6"/>
  <c r="N17" i="6"/>
  <c r="L17" i="6"/>
  <c r="O17" i="6"/>
  <c r="K18" i="6"/>
  <c r="N18" i="6"/>
  <c r="L18" i="6"/>
  <c r="O18" i="6"/>
  <c r="K19" i="6"/>
  <c r="N19" i="6"/>
  <c r="L19" i="6"/>
  <c r="O19" i="6"/>
  <c r="K20" i="6"/>
  <c r="N20" i="6"/>
  <c r="L20" i="6"/>
  <c r="O20" i="6"/>
  <c r="K21" i="6"/>
  <c r="N21" i="6"/>
  <c r="L21" i="6"/>
  <c r="O21" i="6"/>
  <c r="K22" i="6"/>
  <c r="N22" i="6"/>
  <c r="L22" i="6"/>
  <c r="O22" i="6"/>
  <c r="K23" i="6"/>
  <c r="N23" i="6"/>
  <c r="L23" i="6"/>
  <c r="O23" i="6"/>
  <c r="K24" i="6"/>
  <c r="N24" i="6"/>
  <c r="L24" i="6"/>
  <c r="O24" i="6"/>
  <c r="K25" i="6"/>
  <c r="N25" i="6"/>
  <c r="L25" i="6"/>
  <c r="O25" i="6"/>
  <c r="K26" i="6"/>
  <c r="N26" i="6"/>
  <c r="L26" i="6"/>
  <c r="O26" i="6"/>
  <c r="K27" i="6"/>
  <c r="N27" i="6"/>
  <c r="L27" i="6"/>
  <c r="O27" i="6"/>
  <c r="K28" i="6"/>
  <c r="N28" i="6"/>
  <c r="L28" i="6"/>
  <c r="O28" i="6"/>
  <c r="K29" i="6"/>
  <c r="N29" i="6"/>
  <c r="L29" i="6"/>
  <c r="O29" i="6"/>
  <c r="K30" i="6"/>
  <c r="N30" i="6"/>
  <c r="L30" i="6"/>
  <c r="O30" i="6"/>
  <c r="G6" i="14"/>
  <c r="E2" i="6"/>
  <c r="E3" i="6"/>
  <c r="E4" i="6"/>
  <c r="E5" i="6"/>
  <c r="E6" i="6"/>
  <c r="E7" i="6"/>
  <c r="E8" i="6"/>
  <c r="E9" i="6"/>
  <c r="E10" i="6"/>
  <c r="E11" i="6"/>
  <c r="E12" i="6"/>
  <c r="E13" i="6"/>
  <c r="E14" i="6"/>
  <c r="E15" i="6"/>
  <c r="E16" i="6"/>
  <c r="E17" i="6"/>
  <c r="E18" i="6"/>
  <c r="E19" i="6"/>
  <c r="E20" i="6"/>
  <c r="E21" i="6"/>
  <c r="E22" i="6"/>
  <c r="E23" i="6"/>
  <c r="E24" i="6"/>
  <c r="E25" i="6"/>
  <c r="E26" i="6"/>
  <c r="E27" i="6"/>
  <c r="E28" i="6"/>
  <c r="E29" i="6"/>
  <c r="E30" i="6"/>
  <c r="E31" i="6"/>
  <c r="K31" i="6"/>
  <c r="N31" i="6"/>
  <c r="K44" i="16"/>
  <c r="K45" i="16"/>
  <c r="K46" i="16"/>
  <c r="K48" i="16"/>
  <c r="G8" i="14"/>
  <c r="G2" i="6"/>
  <c r="G3" i="6"/>
  <c r="G4" i="6"/>
  <c r="G5" i="6"/>
  <c r="G6" i="6"/>
  <c r="G7" i="6"/>
  <c r="G8" i="6"/>
  <c r="G9" i="6"/>
  <c r="G10" i="6"/>
  <c r="G11" i="6"/>
  <c r="G12" i="6"/>
  <c r="G13" i="6"/>
  <c r="G14" i="6"/>
  <c r="G15" i="6"/>
  <c r="G16" i="6"/>
  <c r="G17" i="6"/>
  <c r="G18" i="6"/>
  <c r="G19" i="6"/>
  <c r="G20" i="6"/>
  <c r="G21" i="6"/>
  <c r="G22" i="6"/>
  <c r="G23" i="6"/>
  <c r="G24" i="6"/>
  <c r="G25" i="6"/>
  <c r="G26" i="6"/>
  <c r="G27" i="6"/>
  <c r="G28" i="6"/>
  <c r="G29" i="6"/>
  <c r="G30" i="6"/>
  <c r="G31" i="6"/>
  <c r="L31" i="6"/>
  <c r="O31" i="6"/>
  <c r="K2" i="7"/>
  <c r="N2" i="7"/>
  <c r="L2" i="7"/>
  <c r="O2" i="7"/>
  <c r="K3" i="7"/>
  <c r="N3" i="7"/>
  <c r="L3" i="7"/>
  <c r="O3" i="7"/>
  <c r="K4" i="7"/>
  <c r="N4" i="7"/>
  <c r="L4" i="7"/>
  <c r="O4" i="7"/>
  <c r="K5" i="7"/>
  <c r="N5" i="7"/>
  <c r="L5" i="7"/>
  <c r="O5" i="7"/>
  <c r="K6" i="7"/>
  <c r="N6" i="7"/>
  <c r="L6" i="7"/>
  <c r="O6" i="7"/>
  <c r="K7" i="7"/>
  <c r="N7" i="7"/>
  <c r="L7" i="7"/>
  <c r="O7" i="7"/>
  <c r="K8" i="7"/>
  <c r="N8" i="7"/>
  <c r="L8" i="7"/>
  <c r="O8" i="7"/>
  <c r="K9" i="7"/>
  <c r="N9" i="7"/>
  <c r="L9" i="7"/>
  <c r="O9" i="7"/>
  <c r="K10" i="7"/>
  <c r="N10" i="7"/>
  <c r="L10" i="7"/>
  <c r="O10" i="7"/>
  <c r="K11" i="7"/>
  <c r="N11" i="7"/>
  <c r="L11" i="7"/>
  <c r="O11" i="7"/>
  <c r="K12" i="7"/>
  <c r="N12" i="7"/>
  <c r="L12" i="7"/>
  <c r="O12" i="7"/>
  <c r="K13" i="7"/>
  <c r="N13" i="7"/>
  <c r="L13" i="7"/>
  <c r="O13" i="7"/>
  <c r="K14" i="7"/>
  <c r="N14" i="7"/>
  <c r="L14" i="7"/>
  <c r="O14" i="7"/>
  <c r="K15" i="7"/>
  <c r="N15" i="7"/>
  <c r="L15" i="7"/>
  <c r="O15" i="7"/>
  <c r="K16" i="7"/>
  <c r="N16" i="7"/>
  <c r="L16" i="7"/>
  <c r="O16" i="7"/>
  <c r="K17" i="7"/>
  <c r="N17" i="7"/>
  <c r="L17" i="7"/>
  <c r="O17" i="7"/>
  <c r="K18" i="7"/>
  <c r="N18" i="7"/>
  <c r="L18" i="7"/>
  <c r="O18" i="7"/>
  <c r="K19" i="7"/>
  <c r="N19" i="7"/>
  <c r="L19" i="7"/>
  <c r="O19" i="7"/>
  <c r="K20" i="7"/>
  <c r="N20" i="7"/>
  <c r="L20" i="7"/>
  <c r="O20" i="7"/>
  <c r="K21" i="7"/>
  <c r="N21" i="7"/>
  <c r="L21" i="7"/>
  <c r="O21" i="7"/>
  <c r="K22" i="7"/>
  <c r="N22" i="7"/>
  <c r="L22" i="7"/>
  <c r="O22" i="7"/>
  <c r="K23" i="7"/>
  <c r="N23" i="7"/>
  <c r="L23" i="7"/>
  <c r="O23" i="7"/>
  <c r="K24" i="7"/>
  <c r="N24" i="7"/>
  <c r="L24" i="7"/>
  <c r="O24" i="7"/>
  <c r="K25" i="7"/>
  <c r="N25" i="7"/>
  <c r="L25" i="7"/>
  <c r="O25" i="7"/>
  <c r="K26" i="7"/>
  <c r="N26" i="7"/>
  <c r="L26" i="7"/>
  <c r="O26" i="7"/>
  <c r="K27" i="7"/>
  <c r="N27" i="7"/>
  <c r="L27" i="7"/>
  <c r="O27" i="7"/>
  <c r="K28" i="7"/>
  <c r="N28" i="7"/>
  <c r="L28" i="7"/>
  <c r="O28" i="7"/>
  <c r="K29" i="7"/>
  <c r="N29" i="7"/>
  <c r="L29" i="7"/>
  <c r="O29" i="7"/>
  <c r="K30" i="7"/>
  <c r="N30" i="7"/>
  <c r="L30" i="7"/>
  <c r="O30" i="7"/>
  <c r="H6" i="14"/>
  <c r="E2" i="7"/>
  <c r="E3" i="7"/>
  <c r="E4" i="7"/>
  <c r="E5" i="7"/>
  <c r="E6" i="7"/>
  <c r="E7" i="7"/>
  <c r="E8" i="7"/>
  <c r="E9" i="7"/>
  <c r="E10" i="7"/>
  <c r="E11" i="7"/>
  <c r="E12" i="7"/>
  <c r="E13" i="7"/>
  <c r="E14" i="7"/>
  <c r="E15" i="7"/>
  <c r="E16" i="7"/>
  <c r="E17" i="7"/>
  <c r="E18" i="7"/>
  <c r="E19" i="7"/>
  <c r="E20" i="7"/>
  <c r="E21" i="7"/>
  <c r="E22" i="7"/>
  <c r="E23" i="7"/>
  <c r="E24" i="7"/>
  <c r="E25" i="7"/>
  <c r="E26" i="7"/>
  <c r="E27" i="7"/>
  <c r="E28" i="7"/>
  <c r="E29" i="7"/>
  <c r="E30" i="7"/>
  <c r="E31" i="7"/>
  <c r="K31" i="7"/>
  <c r="N31" i="7"/>
  <c r="L44" i="16"/>
  <c r="L45" i="16"/>
  <c r="L46" i="16"/>
  <c r="L48" i="16"/>
  <c r="H8" i="14"/>
  <c r="G2" i="7"/>
  <c r="G3" i="7"/>
  <c r="G4" i="7"/>
  <c r="G5" i="7"/>
  <c r="G6" i="7"/>
  <c r="G7" i="7"/>
  <c r="G8" i="7"/>
  <c r="G9" i="7"/>
  <c r="G10" i="7"/>
  <c r="G11" i="7"/>
  <c r="G12" i="7"/>
  <c r="G13" i="7"/>
  <c r="G14" i="7"/>
  <c r="G15" i="7"/>
  <c r="G16" i="7"/>
  <c r="G17" i="7"/>
  <c r="G18" i="7"/>
  <c r="G19" i="7"/>
  <c r="G20" i="7"/>
  <c r="G21" i="7"/>
  <c r="G22" i="7"/>
  <c r="G23" i="7"/>
  <c r="G24" i="7"/>
  <c r="G25" i="7"/>
  <c r="G26" i="7"/>
  <c r="G27" i="7"/>
  <c r="G28" i="7"/>
  <c r="G29" i="7"/>
  <c r="G30" i="7"/>
  <c r="G31" i="7"/>
  <c r="L31" i="7"/>
  <c r="O31" i="7"/>
  <c r="K2" i="8"/>
  <c r="N2" i="8"/>
  <c r="L2" i="8"/>
  <c r="O2" i="8"/>
  <c r="K3" i="8"/>
  <c r="N3" i="8"/>
  <c r="L3" i="8"/>
  <c r="O3" i="8"/>
  <c r="K4" i="8"/>
  <c r="N4" i="8"/>
  <c r="L4" i="8"/>
  <c r="O4" i="8"/>
  <c r="K5" i="8"/>
  <c r="N5" i="8"/>
  <c r="L5" i="8"/>
  <c r="O5" i="8"/>
  <c r="K6" i="8"/>
  <c r="N6" i="8"/>
  <c r="L6" i="8"/>
  <c r="O6" i="8"/>
  <c r="K7" i="8"/>
  <c r="N7" i="8"/>
  <c r="L7" i="8"/>
  <c r="O7" i="8"/>
  <c r="K8" i="8"/>
  <c r="N8" i="8"/>
  <c r="L8" i="8"/>
  <c r="O8" i="8"/>
  <c r="K9" i="8"/>
  <c r="N9" i="8"/>
  <c r="L9" i="8"/>
  <c r="O9" i="8"/>
  <c r="K10" i="8"/>
  <c r="N10" i="8"/>
  <c r="L10" i="8"/>
  <c r="O10" i="8"/>
  <c r="K11" i="8"/>
  <c r="N11" i="8"/>
  <c r="L11" i="8"/>
  <c r="O11" i="8"/>
  <c r="K12" i="8"/>
  <c r="N12" i="8"/>
  <c r="L12" i="8"/>
  <c r="O12" i="8"/>
  <c r="K13" i="8"/>
  <c r="N13" i="8"/>
  <c r="L13" i="8"/>
  <c r="O13" i="8"/>
  <c r="K14" i="8"/>
  <c r="N14" i="8"/>
  <c r="L14" i="8"/>
  <c r="O14" i="8"/>
  <c r="K15" i="8"/>
  <c r="N15" i="8"/>
  <c r="L15" i="8"/>
  <c r="O15" i="8"/>
  <c r="K16" i="8"/>
  <c r="N16" i="8"/>
  <c r="L16" i="8"/>
  <c r="O16" i="8"/>
  <c r="K17" i="8"/>
  <c r="N17" i="8"/>
  <c r="L17" i="8"/>
  <c r="O17" i="8"/>
  <c r="K18" i="8"/>
  <c r="N18" i="8"/>
  <c r="L18" i="8"/>
  <c r="O18" i="8"/>
  <c r="K19" i="8"/>
  <c r="N19" i="8"/>
  <c r="L19" i="8"/>
  <c r="O19" i="8"/>
  <c r="K20" i="8"/>
  <c r="N20" i="8"/>
  <c r="L20" i="8"/>
  <c r="O20" i="8"/>
  <c r="K21" i="8"/>
  <c r="N21" i="8"/>
  <c r="L21" i="8"/>
  <c r="O21" i="8"/>
  <c r="K22" i="8"/>
  <c r="N22" i="8"/>
  <c r="L22" i="8"/>
  <c r="O22" i="8"/>
  <c r="K23" i="8"/>
  <c r="N23" i="8"/>
  <c r="L23" i="8"/>
  <c r="O23" i="8"/>
  <c r="K24" i="8"/>
  <c r="N24" i="8"/>
  <c r="L24" i="8"/>
  <c r="O24" i="8"/>
  <c r="K25" i="8"/>
  <c r="N25" i="8"/>
  <c r="L25" i="8"/>
  <c r="O25" i="8"/>
  <c r="K26" i="8"/>
  <c r="N26" i="8"/>
  <c r="L26" i="8"/>
  <c r="O26" i="8"/>
  <c r="K27" i="8"/>
  <c r="N27" i="8"/>
  <c r="L27" i="8"/>
  <c r="O27" i="8"/>
  <c r="K28" i="8"/>
  <c r="N28" i="8"/>
  <c r="L28" i="8"/>
  <c r="O28" i="8"/>
  <c r="K29" i="8"/>
  <c r="N29" i="8"/>
  <c r="L29" i="8"/>
  <c r="O29" i="8"/>
  <c r="K30" i="8"/>
  <c r="N30" i="8"/>
  <c r="L30" i="8"/>
  <c r="O30" i="8"/>
  <c r="I6" i="14"/>
  <c r="E2" i="8"/>
  <c r="E3" i="8"/>
  <c r="E4" i="8"/>
  <c r="E5" i="8"/>
  <c r="E6" i="8"/>
  <c r="E7" i="8"/>
  <c r="E8" i="8"/>
  <c r="E9" i="8"/>
  <c r="E10" i="8"/>
  <c r="E11" i="8"/>
  <c r="E12" i="8"/>
  <c r="E13" i="8"/>
  <c r="E14" i="8"/>
  <c r="E15" i="8"/>
  <c r="E16" i="8"/>
  <c r="E17" i="8"/>
  <c r="E18" i="8"/>
  <c r="E19" i="8"/>
  <c r="E20" i="8"/>
  <c r="E21" i="8"/>
  <c r="E22" i="8"/>
  <c r="E23" i="8"/>
  <c r="E24" i="8"/>
  <c r="E25" i="8"/>
  <c r="E26" i="8"/>
  <c r="E27" i="8"/>
  <c r="E28" i="8"/>
  <c r="E29" i="8"/>
  <c r="E30" i="8"/>
  <c r="E31" i="8"/>
  <c r="K31" i="8"/>
  <c r="N31" i="8"/>
  <c r="M44" i="16"/>
  <c r="M45" i="16"/>
  <c r="M46" i="16"/>
  <c r="M48" i="16"/>
  <c r="I8" i="14"/>
  <c r="G2" i="8"/>
  <c r="G3" i="8"/>
  <c r="G4" i="8"/>
  <c r="G5" i="8"/>
  <c r="G6" i="8"/>
  <c r="G7" i="8"/>
  <c r="G8" i="8"/>
  <c r="G9" i="8"/>
  <c r="G10" i="8"/>
  <c r="G11" i="8"/>
  <c r="G12" i="8"/>
  <c r="G13" i="8"/>
  <c r="G14" i="8"/>
  <c r="G15" i="8"/>
  <c r="G16" i="8"/>
  <c r="G17" i="8"/>
  <c r="G18" i="8"/>
  <c r="G19" i="8"/>
  <c r="G20" i="8"/>
  <c r="G21" i="8"/>
  <c r="G22" i="8"/>
  <c r="G23" i="8"/>
  <c r="G24" i="8"/>
  <c r="G25" i="8"/>
  <c r="G26" i="8"/>
  <c r="G27" i="8"/>
  <c r="G28" i="8"/>
  <c r="G29" i="8"/>
  <c r="G30" i="8"/>
  <c r="G31" i="8"/>
  <c r="L31" i="8"/>
  <c r="O31" i="8"/>
  <c r="K2" i="9"/>
  <c r="N2" i="9"/>
  <c r="L2" i="9"/>
  <c r="O2" i="9"/>
  <c r="K3" i="9"/>
  <c r="N3" i="9"/>
  <c r="L3" i="9"/>
  <c r="O3" i="9"/>
  <c r="K4" i="9"/>
  <c r="N4" i="9"/>
  <c r="L4" i="9"/>
  <c r="O4" i="9"/>
  <c r="K5" i="9"/>
  <c r="N5" i="9"/>
  <c r="L5" i="9"/>
  <c r="O5" i="9"/>
  <c r="K6" i="9"/>
  <c r="N6" i="9"/>
  <c r="L6" i="9"/>
  <c r="O6" i="9"/>
  <c r="K7" i="9"/>
  <c r="N7" i="9"/>
  <c r="L7" i="9"/>
  <c r="O7" i="9"/>
  <c r="K8" i="9"/>
  <c r="N8" i="9"/>
  <c r="L8" i="9"/>
  <c r="O8" i="9"/>
  <c r="K9" i="9"/>
  <c r="N9" i="9"/>
  <c r="L9" i="9"/>
  <c r="O9" i="9"/>
  <c r="K10" i="9"/>
  <c r="N10" i="9"/>
  <c r="L10" i="9"/>
  <c r="O10" i="9"/>
  <c r="K11" i="9"/>
  <c r="N11" i="9"/>
  <c r="L11" i="9"/>
  <c r="O11" i="9"/>
  <c r="K12" i="9"/>
  <c r="N12" i="9"/>
  <c r="L12" i="9"/>
  <c r="O12" i="9"/>
  <c r="K13" i="9"/>
  <c r="N13" i="9"/>
  <c r="L13" i="9"/>
  <c r="O13" i="9"/>
  <c r="K14" i="9"/>
  <c r="N14" i="9"/>
  <c r="L14" i="9"/>
  <c r="O14" i="9"/>
  <c r="K15" i="9"/>
  <c r="N15" i="9"/>
  <c r="L15" i="9"/>
  <c r="O15" i="9"/>
  <c r="K16" i="9"/>
  <c r="N16" i="9"/>
  <c r="L16" i="9"/>
  <c r="O16" i="9"/>
  <c r="K17" i="9"/>
  <c r="N17" i="9"/>
  <c r="L17" i="9"/>
  <c r="O17" i="9"/>
  <c r="K18" i="9"/>
  <c r="N18" i="9"/>
  <c r="L18" i="9"/>
  <c r="O18" i="9"/>
  <c r="K19" i="9"/>
  <c r="N19" i="9"/>
  <c r="L19" i="9"/>
  <c r="O19" i="9"/>
  <c r="K20" i="9"/>
  <c r="N20" i="9"/>
  <c r="L20" i="9"/>
  <c r="O20" i="9"/>
  <c r="K21" i="9"/>
  <c r="N21" i="9"/>
  <c r="L21" i="9"/>
  <c r="O21" i="9"/>
  <c r="K22" i="9"/>
  <c r="N22" i="9"/>
  <c r="L22" i="9"/>
  <c r="O22" i="9"/>
  <c r="K23" i="9"/>
  <c r="N23" i="9"/>
  <c r="L23" i="9"/>
  <c r="O23" i="9"/>
  <c r="K24" i="9"/>
  <c r="N24" i="9"/>
  <c r="L24" i="9"/>
  <c r="O24" i="9"/>
  <c r="K25" i="9"/>
  <c r="N25" i="9"/>
  <c r="L25" i="9"/>
  <c r="O25" i="9"/>
  <c r="K26" i="9"/>
  <c r="N26" i="9"/>
  <c r="L26" i="9"/>
  <c r="O26" i="9"/>
  <c r="K27" i="9"/>
  <c r="N27" i="9"/>
  <c r="L27" i="9"/>
  <c r="O27" i="9"/>
  <c r="K28" i="9"/>
  <c r="N28" i="9"/>
  <c r="L28" i="9"/>
  <c r="O28" i="9"/>
  <c r="K29" i="9"/>
  <c r="N29" i="9"/>
  <c r="L29" i="9"/>
  <c r="O29" i="9"/>
  <c r="K30" i="9"/>
  <c r="N30" i="9"/>
  <c r="L30" i="9"/>
  <c r="O30" i="9"/>
  <c r="J6" i="14"/>
  <c r="E2" i="9"/>
  <c r="E3" i="9"/>
  <c r="E4" i="9"/>
  <c r="E5" i="9"/>
  <c r="E6" i="9"/>
  <c r="E7" i="9"/>
  <c r="E8" i="9"/>
  <c r="E9" i="9"/>
  <c r="E10" i="9"/>
  <c r="E11" i="9"/>
  <c r="E12" i="9"/>
  <c r="E13" i="9"/>
  <c r="E14" i="9"/>
  <c r="E15" i="9"/>
  <c r="E16" i="9"/>
  <c r="E17" i="9"/>
  <c r="E18" i="9"/>
  <c r="E19" i="9"/>
  <c r="E20" i="9"/>
  <c r="E21" i="9"/>
  <c r="E22" i="9"/>
  <c r="E23" i="9"/>
  <c r="E24" i="9"/>
  <c r="E25" i="9"/>
  <c r="E26" i="9"/>
  <c r="E27" i="9"/>
  <c r="E28" i="9"/>
  <c r="E29" i="9"/>
  <c r="E30" i="9"/>
  <c r="E31" i="9"/>
  <c r="K31" i="9"/>
  <c r="N31" i="9"/>
  <c r="N44" i="16"/>
  <c r="N45" i="16"/>
  <c r="N46" i="16"/>
  <c r="N48" i="16"/>
  <c r="J8" i="14"/>
  <c r="G2" i="9"/>
  <c r="G3" i="9"/>
  <c r="G4" i="9"/>
  <c r="G5" i="9"/>
  <c r="G6" i="9"/>
  <c r="G7" i="9"/>
  <c r="G8" i="9"/>
  <c r="G9" i="9"/>
  <c r="G10" i="9"/>
  <c r="G11" i="9"/>
  <c r="G12" i="9"/>
  <c r="G13" i="9"/>
  <c r="G14" i="9"/>
  <c r="G15" i="9"/>
  <c r="G16" i="9"/>
  <c r="G17" i="9"/>
  <c r="G18" i="9"/>
  <c r="G19" i="9"/>
  <c r="G20" i="9"/>
  <c r="G21" i="9"/>
  <c r="G22" i="9"/>
  <c r="G23" i="9"/>
  <c r="G24" i="9"/>
  <c r="G25" i="9"/>
  <c r="G26" i="9"/>
  <c r="G27" i="9"/>
  <c r="G28" i="9"/>
  <c r="G29" i="9"/>
  <c r="G30" i="9"/>
  <c r="G31" i="9"/>
  <c r="L31" i="9"/>
  <c r="O31" i="9"/>
  <c r="O11" i="17"/>
  <c r="Y11" i="17"/>
  <c r="AA11" i="17"/>
  <c r="Y10" i="17"/>
  <c r="Y12" i="17"/>
  <c r="Z10" i="17"/>
  <c r="Z12" i="17"/>
  <c r="J19" i="17"/>
  <c r="AB11" i="17"/>
  <c r="Z11" i="17"/>
  <c r="AA10" i="17"/>
  <c r="AA12" i="17"/>
  <c r="B13" i="17"/>
  <c r="M15" i="17"/>
  <c r="N15" i="17"/>
  <c r="H14" i="17"/>
  <c r="B19" i="17"/>
  <c r="S19" i="17"/>
  <c r="T19" i="17"/>
  <c r="H36" i="17"/>
  <c r="M20" i="17"/>
  <c r="N20" i="17"/>
  <c r="I23" i="17"/>
  <c r="H23" i="17"/>
  <c r="J23" i="17"/>
  <c r="M24" i="17"/>
  <c r="N11" i="17"/>
  <c r="P11" i="17"/>
  <c r="N24" i="17"/>
  <c r="G49" i="17"/>
  <c r="H49" i="17"/>
  <c r="I49" i="17"/>
  <c r="J49" i="17"/>
  <c r="K49" i="17"/>
  <c r="L49" i="17"/>
  <c r="M49" i="17"/>
  <c r="N49" i="17"/>
  <c r="O49" i="17"/>
  <c r="P49" i="17"/>
  <c r="Q49" i="17"/>
  <c r="R49" i="17"/>
  <c r="S49" i="17"/>
  <c r="T24" i="17"/>
  <c r="V24" i="17"/>
  <c r="B26" i="17"/>
  <c r="B27" i="17"/>
  <c r="H27" i="17"/>
  <c r="G28" i="17"/>
  <c r="H28" i="17"/>
  <c r="B21" i="17"/>
  <c r="G29" i="17"/>
  <c r="M29" i="17"/>
  <c r="N29" i="17"/>
  <c r="O29" i="17"/>
  <c r="P29" i="17"/>
  <c r="S29" i="17"/>
  <c r="T29" i="17"/>
  <c r="U29" i="17"/>
  <c r="B24" i="17"/>
  <c r="G33" i="17"/>
  <c r="B20" i="17"/>
  <c r="G27" i="17"/>
  <c r="G31" i="17"/>
  <c r="G32" i="17"/>
  <c r="H32" i="17"/>
  <c r="B23" i="17"/>
  <c r="I33" i="17"/>
  <c r="M33" i="17"/>
  <c r="M32" i="17"/>
  <c r="O33" i="17"/>
  <c r="P33" i="17"/>
  <c r="V29" i="17"/>
  <c r="G23" i="17"/>
  <c r="T33" i="17"/>
  <c r="W33" i="17"/>
  <c r="X33" i="17"/>
  <c r="Y33" i="17"/>
  <c r="Z33" i="17"/>
  <c r="H19" i="17"/>
  <c r="O35" i="17"/>
  <c r="P35" i="17"/>
  <c r="S33" i="17"/>
  <c r="S35" i="17"/>
  <c r="T35" i="17"/>
  <c r="B36" i="17"/>
  <c r="M11" i="17"/>
  <c r="B37" i="17"/>
  <c r="B38" i="17"/>
  <c r="H46" i="17"/>
  <c r="I46" i="17"/>
  <c r="K2" i="1"/>
  <c r="N2" i="1"/>
  <c r="L2" i="1"/>
  <c r="O2" i="1"/>
  <c r="K3" i="1"/>
  <c r="N3" i="1"/>
  <c r="L3" i="1"/>
  <c r="O3" i="1"/>
  <c r="K4" i="1"/>
  <c r="N4" i="1"/>
  <c r="L4" i="1"/>
  <c r="O4" i="1"/>
  <c r="K5" i="1"/>
  <c r="N5" i="1"/>
  <c r="L5" i="1"/>
  <c r="O5" i="1"/>
  <c r="K6" i="1"/>
  <c r="N6" i="1"/>
  <c r="L6" i="1"/>
  <c r="O6" i="1"/>
  <c r="K7" i="1"/>
  <c r="N7" i="1"/>
  <c r="L7" i="1"/>
  <c r="O7" i="1"/>
  <c r="K8" i="1"/>
  <c r="N8" i="1"/>
  <c r="L8" i="1"/>
  <c r="O8" i="1"/>
  <c r="K9" i="1"/>
  <c r="N9" i="1"/>
  <c r="L9" i="1"/>
  <c r="O9" i="1"/>
  <c r="K10" i="1"/>
  <c r="N10" i="1"/>
  <c r="L10" i="1"/>
  <c r="O10" i="1"/>
  <c r="K11" i="1"/>
  <c r="N11" i="1"/>
  <c r="L11" i="1"/>
  <c r="O11" i="1"/>
  <c r="K12" i="1"/>
  <c r="N12" i="1"/>
  <c r="L12" i="1"/>
  <c r="O12" i="1"/>
  <c r="K13" i="1"/>
  <c r="N13" i="1"/>
  <c r="L13" i="1"/>
  <c r="O13" i="1"/>
  <c r="K14" i="1"/>
  <c r="N14" i="1"/>
  <c r="L14" i="1"/>
  <c r="O14" i="1"/>
  <c r="K15" i="1"/>
  <c r="N15" i="1"/>
  <c r="L15" i="1"/>
  <c r="O15" i="1"/>
  <c r="K16" i="1"/>
  <c r="N16" i="1"/>
  <c r="L16" i="1"/>
  <c r="O16" i="1"/>
  <c r="K17" i="1"/>
  <c r="N17" i="1"/>
  <c r="L17" i="1"/>
  <c r="O17" i="1"/>
  <c r="K18" i="1"/>
  <c r="N18" i="1"/>
  <c r="L18" i="1"/>
  <c r="O18" i="1"/>
  <c r="K19" i="1"/>
  <c r="N19" i="1"/>
  <c r="L19" i="1"/>
  <c r="O19" i="1"/>
  <c r="K20" i="1"/>
  <c r="N20" i="1"/>
  <c r="L20" i="1"/>
  <c r="O20" i="1"/>
  <c r="K21" i="1"/>
  <c r="N21" i="1"/>
  <c r="L21" i="1"/>
  <c r="O21" i="1"/>
  <c r="K22" i="1"/>
  <c r="N22" i="1"/>
  <c r="L22" i="1"/>
  <c r="O22" i="1"/>
  <c r="K23" i="1"/>
  <c r="N23" i="1"/>
  <c r="L23" i="1"/>
  <c r="O23" i="1"/>
  <c r="K24" i="1"/>
  <c r="N24" i="1"/>
  <c r="L24" i="1"/>
  <c r="O24" i="1"/>
  <c r="K25" i="1"/>
  <c r="N25" i="1"/>
  <c r="L25" i="1"/>
  <c r="O25" i="1"/>
  <c r="K26" i="1"/>
  <c r="N26" i="1"/>
  <c r="L26" i="1"/>
  <c r="O26" i="1"/>
  <c r="K27" i="1"/>
  <c r="N27" i="1"/>
  <c r="L27" i="1"/>
  <c r="O27" i="1"/>
  <c r="K28" i="1"/>
  <c r="N28" i="1"/>
  <c r="L28" i="1"/>
  <c r="O28" i="1"/>
  <c r="K29" i="1"/>
  <c r="N29" i="1"/>
  <c r="L29" i="1"/>
  <c r="O29" i="1"/>
  <c r="K30" i="1"/>
  <c r="N30" i="1"/>
  <c r="L30" i="1"/>
  <c r="O30" i="1"/>
  <c r="B6" i="14"/>
  <c r="E2" i="1"/>
  <c r="E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K31" i="1"/>
  <c r="N31" i="1"/>
  <c r="B8" i="14"/>
  <c r="G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L31" i="1"/>
  <c r="O31" i="1"/>
  <c r="K2" i="13"/>
  <c r="N2" i="13"/>
  <c r="L2" i="13"/>
  <c r="O2" i="13"/>
  <c r="K3" i="13"/>
  <c r="N3" i="13"/>
  <c r="L3" i="13"/>
  <c r="O3" i="13"/>
  <c r="K4" i="13"/>
  <c r="N4" i="13"/>
  <c r="L4" i="13"/>
  <c r="O4" i="13"/>
  <c r="K5" i="13"/>
  <c r="N5" i="13"/>
  <c r="L5" i="13"/>
  <c r="O5" i="13"/>
  <c r="K6" i="13"/>
  <c r="N6" i="13"/>
  <c r="L6" i="13"/>
  <c r="O6" i="13"/>
  <c r="K7" i="13"/>
  <c r="N7" i="13"/>
  <c r="L7" i="13"/>
  <c r="O7" i="13"/>
  <c r="K8" i="13"/>
  <c r="N8" i="13"/>
  <c r="L8" i="13"/>
  <c r="O8" i="13"/>
  <c r="K9" i="13"/>
  <c r="N9" i="13"/>
  <c r="L9" i="13"/>
  <c r="O9" i="13"/>
  <c r="K10" i="13"/>
  <c r="N10" i="13"/>
  <c r="L10" i="13"/>
  <c r="O10" i="13"/>
  <c r="K11" i="13"/>
  <c r="N11" i="13"/>
  <c r="L11" i="13"/>
  <c r="O11" i="13"/>
  <c r="K12" i="13"/>
  <c r="N12" i="13"/>
  <c r="L12" i="13"/>
  <c r="O12" i="13"/>
  <c r="K13" i="13"/>
  <c r="N13" i="13"/>
  <c r="L13" i="13"/>
  <c r="O13" i="13"/>
  <c r="K14" i="13"/>
  <c r="N14" i="13"/>
  <c r="L14" i="13"/>
  <c r="O14" i="13"/>
  <c r="K15" i="13"/>
  <c r="N15" i="13"/>
  <c r="L15" i="13"/>
  <c r="O15" i="13"/>
  <c r="K16" i="13"/>
  <c r="N16" i="13"/>
  <c r="L16" i="13"/>
  <c r="O16" i="13"/>
  <c r="K17" i="13"/>
  <c r="N17" i="13"/>
  <c r="L17" i="13"/>
  <c r="O17" i="13"/>
  <c r="K18" i="13"/>
  <c r="N18" i="13"/>
  <c r="L18" i="13"/>
  <c r="O18" i="13"/>
  <c r="K19" i="13"/>
  <c r="N19" i="13"/>
  <c r="L19" i="13"/>
  <c r="O19" i="13"/>
  <c r="K20" i="13"/>
  <c r="N20" i="13"/>
  <c r="L20" i="13"/>
  <c r="O20" i="13"/>
  <c r="K21" i="13"/>
  <c r="N21" i="13"/>
  <c r="L21" i="13"/>
  <c r="O21" i="13"/>
  <c r="K22" i="13"/>
  <c r="N22" i="13"/>
  <c r="L22" i="13"/>
  <c r="O22" i="13"/>
  <c r="K23" i="13"/>
  <c r="N23" i="13"/>
  <c r="L23" i="13"/>
  <c r="O23" i="13"/>
  <c r="K24" i="13"/>
  <c r="N24" i="13"/>
  <c r="L24" i="13"/>
  <c r="O24" i="13"/>
  <c r="K25" i="13"/>
  <c r="N25" i="13"/>
  <c r="L25" i="13"/>
  <c r="O25" i="13"/>
  <c r="K26" i="13"/>
  <c r="N26" i="13"/>
  <c r="L26" i="13"/>
  <c r="O26" i="13"/>
  <c r="K27" i="13"/>
  <c r="N27" i="13"/>
  <c r="L27" i="13"/>
  <c r="O27" i="13"/>
  <c r="K28" i="13"/>
  <c r="N28" i="13"/>
  <c r="L28" i="13"/>
  <c r="O28" i="13"/>
  <c r="K29" i="13"/>
  <c r="N29" i="13"/>
  <c r="L29" i="13"/>
  <c r="O29" i="13"/>
  <c r="K30" i="13"/>
  <c r="N30" i="13"/>
  <c r="L30" i="13"/>
  <c r="O30" i="13"/>
  <c r="N6" i="14"/>
  <c r="E2" i="13"/>
  <c r="E3" i="13"/>
  <c r="E4" i="13"/>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K31" i="13"/>
  <c r="N31" i="13"/>
  <c r="R44" i="16"/>
  <c r="R45" i="16"/>
  <c r="R46" i="16"/>
  <c r="R48" i="16"/>
  <c r="N8" i="14"/>
  <c r="G2" i="13"/>
  <c r="G3" i="13"/>
  <c r="G4" i="13"/>
  <c r="G5" i="13"/>
  <c r="G6" i="13"/>
  <c r="G7" i="13"/>
  <c r="G8" i="13"/>
  <c r="G9" i="13"/>
  <c r="G10" i="13"/>
  <c r="G11" i="13"/>
  <c r="G12" i="13"/>
  <c r="G13" i="13"/>
  <c r="G14" i="13"/>
  <c r="G15" i="13"/>
  <c r="G16" i="13"/>
  <c r="G17" i="13"/>
  <c r="G18" i="13"/>
  <c r="G19" i="13"/>
  <c r="G20" i="13"/>
  <c r="G21" i="13"/>
  <c r="G22" i="13"/>
  <c r="G23" i="13"/>
  <c r="G24" i="13"/>
  <c r="G25" i="13"/>
  <c r="G26" i="13"/>
  <c r="G27" i="13"/>
  <c r="G28" i="13"/>
  <c r="G29" i="13"/>
  <c r="G30" i="13"/>
  <c r="G31" i="13"/>
  <c r="L31" i="13"/>
  <c r="O31" i="13"/>
  <c r="U3" i="16"/>
  <c r="U4" i="16"/>
  <c r="G5" i="16"/>
  <c r="H5" i="16"/>
  <c r="I5" i="16"/>
  <c r="J5" i="16"/>
  <c r="K5" i="16"/>
  <c r="L5" i="16"/>
  <c r="M5" i="16"/>
  <c r="N5" i="16"/>
  <c r="O5" i="16"/>
  <c r="P5" i="16"/>
  <c r="Q5" i="16"/>
  <c r="R5" i="16"/>
  <c r="U8" i="16"/>
  <c r="B14" i="17"/>
  <c r="B15" i="17"/>
  <c r="B22" i="17"/>
  <c r="B25" i="17"/>
  <c r="B30" i="17"/>
  <c r="G36" i="17"/>
  <c r="B29" i="17"/>
  <c r="U9" i="16"/>
  <c r="U10" i="16"/>
  <c r="F90" i="16"/>
  <c r="U11" i="16"/>
  <c r="B18" i="16"/>
  <c r="F5" i="16"/>
  <c r="B19" i="16"/>
  <c r="B28" i="16"/>
  <c r="F30" i="16"/>
  <c r="B29" i="16"/>
  <c r="F45" i="16"/>
  <c r="F46" i="16"/>
  <c r="F48" i="16"/>
  <c r="F31" i="16"/>
  <c r="F44" i="16"/>
  <c r="F33" i="16"/>
  <c r="F51" i="16"/>
  <c r="G51" i="16"/>
  <c r="H51" i="16"/>
  <c r="I51" i="16"/>
  <c r="J51" i="16"/>
  <c r="K51" i="16"/>
  <c r="L51" i="16"/>
  <c r="M51" i="16"/>
  <c r="N51" i="16"/>
  <c r="O51" i="16"/>
  <c r="P51" i="16"/>
  <c r="Q51" i="16"/>
  <c r="R51" i="16"/>
  <c r="F52" i="16"/>
  <c r="G52" i="16"/>
  <c r="H52" i="16"/>
  <c r="I52" i="16"/>
  <c r="J52" i="16"/>
  <c r="K52" i="16"/>
  <c r="L52" i="16"/>
  <c r="M52" i="16"/>
  <c r="N52" i="16"/>
  <c r="O52" i="16"/>
  <c r="P52" i="16"/>
  <c r="Q52" i="16"/>
  <c r="R52" i="16"/>
  <c r="F2" i="16"/>
  <c r="F53" i="16"/>
  <c r="G2" i="16"/>
  <c r="G53" i="16"/>
  <c r="H2" i="16"/>
  <c r="H53" i="16"/>
  <c r="I2" i="16"/>
  <c r="I53" i="16"/>
  <c r="J2" i="16"/>
  <c r="J53" i="16"/>
  <c r="K2" i="16"/>
  <c r="K53" i="16"/>
  <c r="L2" i="16"/>
  <c r="L53" i="16"/>
  <c r="M2" i="16"/>
  <c r="M53" i="16"/>
  <c r="N2" i="16"/>
  <c r="N53" i="16"/>
  <c r="O2" i="16"/>
  <c r="O53" i="16"/>
  <c r="P2" i="16"/>
  <c r="P53" i="16"/>
  <c r="Q2" i="16"/>
  <c r="Q53" i="16"/>
  <c r="R2" i="16"/>
  <c r="R53" i="16"/>
  <c r="F85" i="16"/>
  <c r="F86" i="16"/>
  <c r="F87" i="16"/>
  <c r="G85" i="16"/>
  <c r="G86" i="16"/>
  <c r="G87" i="16"/>
  <c r="H85" i="16"/>
  <c r="H86" i="16"/>
  <c r="H87" i="16"/>
  <c r="I85" i="16"/>
  <c r="I86" i="16"/>
  <c r="I87" i="16"/>
  <c r="J85" i="16"/>
  <c r="J86" i="16"/>
  <c r="J87" i="16"/>
  <c r="K85" i="16"/>
  <c r="K86" i="16"/>
  <c r="K87" i="16"/>
  <c r="L85" i="16"/>
  <c r="L86" i="16"/>
  <c r="L87" i="16"/>
  <c r="M85" i="16"/>
  <c r="M86" i="16"/>
  <c r="M87" i="16"/>
  <c r="N85" i="16"/>
  <c r="N86" i="16"/>
  <c r="N87" i="16"/>
  <c r="O85" i="16"/>
  <c r="O86" i="16"/>
  <c r="O87" i="16"/>
  <c r="P85" i="16"/>
  <c r="P86" i="16"/>
  <c r="P87" i="16"/>
  <c r="Q85" i="16"/>
  <c r="Q86" i="16"/>
  <c r="Q87" i="16"/>
  <c r="R85" i="16"/>
  <c r="R86" i="16"/>
  <c r="R87" i="16"/>
  <c r="F91" i="16"/>
  <c r="F83" i="16"/>
  <c r="F84" i="16"/>
  <c r="F105" i="16"/>
  <c r="F106" i="16"/>
  <c r="F108" i="16"/>
  <c r="F93" i="16"/>
  <c r="F104" i="16"/>
  <c r="G104" i="16"/>
  <c r="H104" i="16"/>
  <c r="I104" i="16"/>
  <c r="J104" i="16"/>
  <c r="K104" i="16"/>
  <c r="L104" i="16"/>
  <c r="M104" i="16"/>
  <c r="N104" i="16"/>
  <c r="O104" i="16"/>
  <c r="P104" i="16"/>
  <c r="Q104" i="16"/>
  <c r="R104" i="16"/>
  <c r="G83" i="16"/>
  <c r="G84" i="16"/>
  <c r="G105" i="16"/>
  <c r="G106" i="16"/>
  <c r="G108" i="16"/>
  <c r="H83" i="16"/>
  <c r="H84" i="16"/>
  <c r="H105" i="16"/>
  <c r="H106" i="16"/>
  <c r="H108" i="16"/>
  <c r="I83" i="16"/>
  <c r="I84" i="16"/>
  <c r="I105" i="16"/>
  <c r="I106" i="16"/>
  <c r="I108" i="16"/>
  <c r="J83" i="16"/>
  <c r="J84" i="16"/>
  <c r="J105" i="16"/>
  <c r="J106" i="16"/>
  <c r="J108" i="16"/>
  <c r="K83" i="16"/>
  <c r="K84" i="16"/>
  <c r="K105" i="16"/>
  <c r="K106" i="16"/>
  <c r="K108" i="16"/>
  <c r="L83" i="16"/>
  <c r="L84" i="16"/>
  <c r="L105" i="16"/>
  <c r="L106" i="16"/>
  <c r="L108" i="16"/>
  <c r="M83" i="16"/>
  <c r="M84" i="16"/>
  <c r="M105" i="16"/>
  <c r="M106" i="16"/>
  <c r="M108" i="16"/>
  <c r="N83" i="16"/>
  <c r="N84" i="16"/>
  <c r="N105" i="16"/>
  <c r="N106" i="16"/>
  <c r="N108" i="16"/>
  <c r="O83" i="16"/>
  <c r="O84" i="16"/>
  <c r="O105" i="16"/>
  <c r="O106" i="16"/>
  <c r="O108" i="16"/>
  <c r="P83" i="16"/>
  <c r="P84" i="16"/>
  <c r="P105" i="16"/>
  <c r="P106" i="16"/>
  <c r="P108" i="16"/>
  <c r="Q83" i="16"/>
  <c r="Q84" i="16"/>
  <c r="Q105" i="16"/>
  <c r="Q106" i="16"/>
  <c r="Q108" i="16"/>
  <c r="F94" i="16"/>
  <c r="F95" i="16"/>
  <c r="F75" i="16"/>
  <c r="G75" i="16"/>
  <c r="H75" i="16"/>
  <c r="I75" i="16"/>
  <c r="J75" i="16"/>
  <c r="K75" i="16"/>
  <c r="L75" i="16"/>
  <c r="M75" i="16"/>
  <c r="N75" i="16"/>
  <c r="O75" i="16"/>
  <c r="P75" i="16"/>
  <c r="Q75" i="16"/>
  <c r="R75" i="16"/>
  <c r="R83" i="16"/>
  <c r="R84" i="16"/>
  <c r="R105" i="16"/>
  <c r="R106" i="16"/>
  <c r="R108" i="16"/>
  <c r="F111" i="16"/>
  <c r="G111" i="16"/>
  <c r="H111" i="16"/>
  <c r="I111" i="16"/>
  <c r="J111" i="16"/>
  <c r="K111" i="16"/>
  <c r="L111" i="16"/>
  <c r="M111" i="16"/>
  <c r="N111" i="16"/>
  <c r="O111" i="16"/>
  <c r="P111" i="16"/>
  <c r="Q111" i="16"/>
  <c r="R111" i="16"/>
  <c r="F112" i="16"/>
  <c r="G112" i="16"/>
  <c r="H112" i="16"/>
  <c r="I112" i="16"/>
  <c r="J112" i="16"/>
  <c r="K112" i="16"/>
  <c r="L112" i="16"/>
  <c r="M112" i="16"/>
  <c r="N112" i="16"/>
  <c r="O112" i="16"/>
  <c r="P112" i="16"/>
  <c r="Q112" i="16"/>
  <c r="R112" i="16"/>
  <c r="G54" i="17"/>
  <c r="G55" i="17"/>
  <c r="F70" i="16"/>
  <c r="F113" i="16"/>
  <c r="H54" i="17"/>
  <c r="H55" i="17"/>
  <c r="G70" i="16"/>
  <c r="G113" i="16"/>
  <c r="I54" i="17"/>
  <c r="I55" i="17"/>
  <c r="H70" i="16"/>
  <c r="H113" i="16"/>
  <c r="J54" i="17"/>
  <c r="J55" i="17"/>
  <c r="I70" i="16"/>
  <c r="I113" i="16"/>
  <c r="K54" i="17"/>
  <c r="K55" i="17"/>
  <c r="J70" i="16"/>
  <c r="J113" i="16"/>
  <c r="L54" i="17"/>
  <c r="L55" i="17"/>
  <c r="K70" i="16"/>
  <c r="K113" i="16"/>
  <c r="M54" i="17"/>
  <c r="M55" i="17"/>
  <c r="L70" i="16"/>
  <c r="L113" i="16"/>
  <c r="N54" i="17"/>
  <c r="N55" i="17"/>
  <c r="M70" i="16"/>
  <c r="M113" i="16"/>
  <c r="O54" i="17"/>
  <c r="O55" i="17"/>
  <c r="N70" i="16"/>
  <c r="N113" i="16"/>
  <c r="P54" i="17"/>
  <c r="P55" i="17"/>
  <c r="O70" i="16"/>
  <c r="O113" i="16"/>
  <c r="Q54" i="17"/>
  <c r="Q55" i="17"/>
  <c r="P70" i="16"/>
  <c r="P113" i="16"/>
  <c r="R54" i="17"/>
  <c r="R55" i="17"/>
  <c r="Q70" i="16"/>
  <c r="Q113" i="16"/>
  <c r="G46" i="17"/>
  <c r="W28" i="17"/>
  <c r="B55" i="17"/>
  <c r="B12" i="17"/>
  <c r="G48" i="17"/>
  <c r="H48" i="17"/>
  <c r="I48" i="17"/>
  <c r="J48" i="17"/>
  <c r="K48" i="17"/>
  <c r="L48" i="17"/>
  <c r="M48" i="17"/>
  <c r="N48" i="17"/>
  <c r="O48" i="17"/>
  <c r="P48" i="17"/>
  <c r="Q48" i="17"/>
  <c r="R48" i="17"/>
  <c r="S48" i="17"/>
  <c r="S54" i="17"/>
  <c r="S55" i="17"/>
  <c r="R70" i="16"/>
  <c r="R113" i="16"/>
</calcChain>
</file>

<file path=xl/comments1.xml><?xml version="1.0" encoding="utf-8"?>
<comments xmlns="http://schemas.openxmlformats.org/spreadsheetml/2006/main">
  <authors>
    <author>Autor</author>
  </authors>
  <commentList>
    <comment ref="A7" authorId="0">
      <text>
        <r>
          <rPr>
            <b/>
            <sz val="8"/>
            <color indexed="81"/>
            <rFont val="Tahoma"/>
            <family val="2"/>
          </rPr>
          <t>This value includes the area of "tail"</t>
        </r>
      </text>
    </comment>
    <comment ref="A10" authorId="0">
      <text>
        <r>
          <rPr>
            <b/>
            <sz val="8"/>
            <color indexed="81"/>
            <rFont val="Tahoma"/>
            <family val="2"/>
          </rPr>
          <t>Value of LE sweep can't be such that sweep at 1/4 chord is negative.</t>
        </r>
        <r>
          <rPr>
            <sz val="8"/>
            <color indexed="81"/>
            <rFont val="Tahoma"/>
            <family val="2"/>
          </rPr>
          <t xml:space="preserve">
</t>
        </r>
      </text>
    </comment>
    <comment ref="A12" authorId="0">
      <text>
        <r>
          <rPr>
            <b/>
            <sz val="8"/>
            <color indexed="81"/>
            <rFont val="Tahoma"/>
            <family val="2"/>
          </rPr>
          <t>This is root chord of trapezoidal wing without tail</t>
        </r>
      </text>
    </comment>
    <comment ref="A13" authorId="0">
      <text>
        <r>
          <rPr>
            <b/>
            <sz val="8"/>
            <color indexed="81"/>
            <rFont val="Tahoma"/>
            <family val="2"/>
          </rPr>
          <t>Root chord including "tail"</t>
        </r>
      </text>
    </comment>
    <comment ref="A18" authorId="0">
      <text>
        <r>
          <rPr>
            <b/>
            <sz val="8"/>
            <color indexed="81"/>
            <rFont val="Tahoma"/>
            <family val="2"/>
          </rPr>
          <t>See Twist and Trim page</t>
        </r>
        <r>
          <rPr>
            <sz val="8"/>
            <color indexed="81"/>
            <rFont val="Tahoma"/>
            <family val="2"/>
          </rPr>
          <t xml:space="preserve">
</t>
        </r>
      </text>
    </comment>
    <comment ref="A21" authorId="0">
      <text>
        <r>
          <rPr>
            <b/>
            <sz val="8"/>
            <color indexed="81"/>
            <rFont val="Tahoma"/>
            <family val="2"/>
          </rPr>
          <t>Pfeilmass is calculated for trapez. Wing.</t>
        </r>
        <r>
          <rPr>
            <sz val="8"/>
            <color indexed="81"/>
            <rFont val="Tahoma"/>
            <family val="2"/>
          </rPr>
          <t xml:space="preserve">
</t>
        </r>
      </text>
    </comment>
    <comment ref="A22" authorId="0">
      <text>
        <r>
          <rPr>
            <b/>
            <sz val="8"/>
            <color indexed="81"/>
            <rFont val="Tahoma"/>
            <family val="2"/>
          </rPr>
          <t>Position of N-point on MAC</t>
        </r>
      </text>
    </comment>
    <comment ref="A28" authorId="0">
      <text>
        <r>
          <rPr>
            <b/>
            <sz val="8"/>
            <color indexed="81"/>
            <rFont val="Tahoma"/>
            <family val="2"/>
          </rPr>
          <t>Static margin value in % of Pfeilmass entered on Twist and Trim page.
Note that Hortens calculated static margin in % of Pfeilmass instead of % of MAC (SM in % of MAC is given bellow) .</t>
        </r>
        <r>
          <rPr>
            <sz val="8"/>
            <color indexed="81"/>
            <rFont val="Tahoma"/>
            <family val="2"/>
          </rPr>
          <t xml:space="preserve">
</t>
        </r>
      </text>
    </comment>
    <comment ref="A29" authorId="0">
      <text>
        <r>
          <rPr>
            <b/>
            <sz val="8"/>
            <color indexed="81"/>
            <rFont val="Tahoma"/>
            <family val="2"/>
          </rPr>
          <t>Static margin calculated in % of MAC. This  is usual method of expressing SM and here it is given together with the method used by Hortens for comparison.</t>
        </r>
        <r>
          <rPr>
            <sz val="8"/>
            <color indexed="81"/>
            <rFont val="Tahoma"/>
            <family val="2"/>
          </rPr>
          <t xml:space="preserve">
</t>
        </r>
      </text>
    </comment>
    <comment ref="A33" authorId="0">
      <text>
        <r>
          <rPr>
            <b/>
            <sz val="8"/>
            <color indexed="81"/>
            <rFont val="Tahoma"/>
            <family val="2"/>
          </rPr>
          <t>Relative elevon chord length at wingtip.</t>
        </r>
        <r>
          <rPr>
            <sz val="8"/>
            <color indexed="81"/>
            <rFont val="Tahoma"/>
            <family val="2"/>
          </rPr>
          <t xml:space="preserve">
</t>
        </r>
      </text>
    </comment>
    <comment ref="A34" authorId="0">
      <text>
        <r>
          <rPr>
            <b/>
            <sz val="8"/>
            <color indexed="81"/>
            <rFont val="Tahoma"/>
            <family val="2"/>
          </rPr>
          <t>Relative elevon chord length at the inner end.</t>
        </r>
      </text>
    </comment>
    <comment ref="A35" authorId="0">
      <text>
        <r>
          <rPr>
            <b/>
            <sz val="8"/>
            <color indexed="81"/>
            <rFont val="Tahoma"/>
            <family val="2"/>
          </rPr>
          <t>Elevon starting position in % of semi span.</t>
        </r>
        <r>
          <rPr>
            <sz val="8"/>
            <color indexed="81"/>
            <rFont val="Tahoma"/>
            <family val="2"/>
          </rPr>
          <t xml:space="preserve">
</t>
        </r>
      </text>
    </comment>
    <comment ref="A36" authorId="0">
      <text>
        <r>
          <rPr>
            <b/>
            <sz val="8"/>
            <color indexed="81"/>
            <rFont val="Tahoma"/>
            <family val="2"/>
          </rPr>
          <t>Area of elevon itself on one side of the wing.</t>
        </r>
      </text>
    </comment>
    <comment ref="A37" authorId="0">
      <text>
        <r>
          <rPr>
            <b/>
            <sz val="8"/>
            <color indexed="81"/>
            <rFont val="Tahoma"/>
            <family val="2"/>
          </rPr>
          <t xml:space="preserve">Elevon hinge line angle </t>
        </r>
      </text>
    </comment>
    <comment ref="A38" authorId="0">
      <text>
        <r>
          <rPr>
            <b/>
            <sz val="8"/>
            <color indexed="81"/>
            <rFont val="Tahoma"/>
            <family val="2"/>
          </rPr>
          <t>Area of wing part with elevon, surface value is just for one side of the wing.</t>
        </r>
      </text>
    </comment>
    <comment ref="F38" authorId="0">
      <text>
        <r>
          <rPr>
            <b/>
            <sz val="8"/>
            <color indexed="81"/>
            <rFont val="Tahoma"/>
            <family val="2"/>
          </rPr>
          <t>For graph purposes - ignore these cells</t>
        </r>
      </text>
    </comment>
    <comment ref="A44" authorId="0">
      <text>
        <r>
          <rPr>
            <b/>
            <sz val="8"/>
            <color indexed="81"/>
            <rFont val="Tahoma"/>
            <family val="2"/>
          </rPr>
          <t>Spar are shown mainly for visual purpose so you can plan where you would position them.
Values bellow are related to trapez. Wing.</t>
        </r>
        <r>
          <rPr>
            <sz val="8"/>
            <color indexed="81"/>
            <rFont val="Tahoma"/>
            <family val="2"/>
          </rPr>
          <t xml:space="preserve">
</t>
        </r>
      </text>
    </comment>
    <comment ref="F48" authorId="0">
      <text>
        <r>
          <rPr>
            <b/>
            <sz val="8"/>
            <color indexed="81"/>
            <rFont val="Tahoma"/>
            <family val="2"/>
          </rPr>
          <t>Root chord of basic trapezoidal wing</t>
        </r>
      </text>
    </comment>
    <comment ref="A51" authorId="0">
      <text>
        <r>
          <rPr>
            <b/>
            <sz val="8"/>
            <color indexed="81"/>
            <rFont val="Tahoma"/>
            <family val="2"/>
          </rPr>
          <t>- The fields bellow are used to add simplified "tail" section to the airplane. Enter the offsets in % of local chord from the TE for 3 positions on the tail and shape it as you like.
- If you don't want tail enter zeros in 3 fields bellow.
- IMPORTANT: Area of the tail enters total wing area but doesn't enter stability calculations. So keep it small to avoid big errors.</t>
        </r>
      </text>
    </comment>
    <comment ref="F54" authorId="0">
      <text>
        <r>
          <rPr>
            <b/>
            <sz val="8"/>
            <color indexed="81"/>
            <rFont val="Tahoma"/>
            <family val="2"/>
          </rPr>
          <t>Trailing edge of wing with tail ,offset compared to the leading edge of root section</t>
        </r>
      </text>
    </comment>
    <comment ref="F55" authorId="0">
      <text>
        <r>
          <rPr>
            <b/>
            <sz val="8"/>
            <color indexed="81"/>
            <rFont val="Tahoma"/>
            <family val="2"/>
          </rPr>
          <t xml:space="preserve">Local chord including tail </t>
        </r>
      </text>
    </comment>
  </commentList>
</comments>
</file>

<file path=xl/comments2.xml><?xml version="1.0" encoding="utf-8"?>
<comments xmlns="http://schemas.openxmlformats.org/spreadsheetml/2006/main">
  <authors>
    <author>Autor</author>
  </authors>
  <commentList>
    <comment ref="A1" authorId="0">
      <text>
        <r>
          <rPr>
            <b/>
            <sz val="8"/>
            <color indexed="81"/>
            <rFont val="Tahoma"/>
            <family val="2"/>
          </rPr>
          <t xml:space="preserve">This page uses LiftingLineTheory in order to calculate twist for desired Bell Shaped Lift Distribution (BSLD). 
The main limitation of LLT is that it gives correct values only for zero sweep of 1/4 chord line. Hence, the results from this sheet are only applicable for very low sweep designs.
It is recommended to use some other software to calculate more accurate twist values. Good examples of such software are Nurtflugel and FLZ_Vortex which both use Vortice Lattice Methods applicable to swept wings. Another option is XFLR5. All of those software is free.
</t>
        </r>
      </text>
    </comment>
    <comment ref="U2" authorId="0">
      <text>
        <r>
          <rPr>
            <b/>
            <sz val="8"/>
            <color indexed="81"/>
            <rFont val="Tahoma"/>
            <family val="2"/>
          </rPr>
          <t>Panknin formula is used on eqv. Trapez. wing</t>
        </r>
        <r>
          <rPr>
            <sz val="8"/>
            <color indexed="81"/>
            <rFont val="Tahoma"/>
            <family val="2"/>
          </rPr>
          <t xml:space="preserve">
</t>
        </r>
      </text>
    </comment>
    <comment ref="A3" authorId="0">
      <text>
        <r>
          <rPr>
            <b/>
            <sz val="8"/>
            <color indexed="81"/>
            <rFont val="Tahoma"/>
            <family val="2"/>
          </rPr>
          <t>Altitude above sea level.</t>
        </r>
      </text>
    </comment>
    <comment ref="A6" authorId="0">
      <text>
        <r>
          <rPr>
            <b/>
            <sz val="8"/>
            <color indexed="81"/>
            <rFont val="Tahoma"/>
            <family val="2"/>
          </rPr>
          <t>Cm0 (pitching moment coeff.) value for root chord.</t>
        </r>
      </text>
    </comment>
    <comment ref="A7" authorId="0">
      <text>
        <r>
          <rPr>
            <b/>
            <sz val="8"/>
            <color indexed="81"/>
            <rFont val="Tahoma"/>
            <family val="2"/>
          </rPr>
          <t>Cm0 (pitching moment coeff.) value for tip chord chord.</t>
        </r>
      </text>
    </comment>
    <comment ref="A8" authorId="0">
      <text>
        <r>
          <rPr>
            <b/>
            <sz val="8"/>
            <color indexed="81"/>
            <rFont val="Tahoma"/>
            <family val="2"/>
          </rPr>
          <t xml:space="preserve">Input zero lif AoA for the root airfoil. You can get it from some airfoil software or even better from wind tunnel tests if available. 
</t>
        </r>
      </text>
    </comment>
    <comment ref="A9" authorId="0">
      <text>
        <r>
          <rPr>
            <b/>
            <sz val="8"/>
            <color indexed="81"/>
            <rFont val="Tahoma"/>
            <family val="2"/>
          </rPr>
          <t xml:space="preserve">Input zero lif AoA for the tip airfoil. You can get it from some airfoil software or even better from wind tunnel tests if available. 
</t>
        </r>
      </text>
    </comment>
    <comment ref="A10" authorId="0">
      <text>
        <r>
          <rPr>
            <b/>
            <sz val="8"/>
            <color indexed="81"/>
            <rFont val="Tahoma"/>
            <family val="2"/>
          </rPr>
          <t>2D airfoil Cl vs AoA gradient, theoretical value is 0,11</t>
        </r>
      </text>
    </comment>
    <comment ref="T11" authorId="0">
      <text>
        <r>
          <rPr>
            <b/>
            <sz val="8"/>
            <color indexed="81"/>
            <rFont val="Tahoma"/>
            <family val="2"/>
          </rPr>
          <t>Total twist for eqvivalent trapeziodal wing</t>
        </r>
      </text>
    </comment>
    <comment ref="E12" authorId="0">
      <text>
        <r>
          <rPr>
            <b/>
            <sz val="8"/>
            <color indexed="81"/>
            <rFont val="Tahoma"/>
            <family val="2"/>
          </rPr>
          <t>Altitude above seal level</t>
        </r>
      </text>
    </comment>
    <comment ref="A13" authorId="0">
      <text>
        <r>
          <rPr>
            <b/>
            <sz val="8"/>
            <color indexed="81"/>
            <rFont val="Tahoma"/>
            <family val="2"/>
          </rPr>
          <t>Enter the value of Cl for which BSLD distribution will be designed. Good values are between 0,4 and 0,6. It is likely that bad stall characteristics will occur if you go bellow 0,4.</t>
        </r>
      </text>
    </comment>
    <comment ref="A14" authorId="0">
      <text>
        <r>
          <rPr>
            <b/>
            <sz val="8"/>
            <color indexed="81"/>
            <rFont val="Tahoma"/>
            <family val="2"/>
          </rPr>
          <t>Enter 1 for BSLD where gamma is proportional to sin^3.
Enter 0 for elliptical lift distribution. 
Values between are also possible. See how parameters change on the graph with the change of mi.
For more info check Prandlt's paper about minimum induced drag.</t>
        </r>
      </text>
    </comment>
    <comment ref="E14" authorId="0">
      <text>
        <r>
          <rPr>
            <b/>
            <sz val="8"/>
            <color indexed="81"/>
            <rFont val="Tahoma"/>
            <family val="2"/>
          </rPr>
          <t>Speed at Cl for which BSLD is designed</t>
        </r>
      </text>
    </comment>
    <comment ref="A17" authorId="0">
      <text>
        <r>
          <rPr>
            <b/>
            <sz val="8"/>
            <color indexed="81"/>
            <rFont val="Tahoma"/>
            <family val="2"/>
          </rPr>
          <t xml:space="preserve">Enter static margin value in % of Pfeilmass. 16-18% are good starting values. 
Note that Hortens calculated static margin in % of Pfeilmass instead of % of MAC 
</t>
        </r>
      </text>
    </comment>
    <comment ref="A18" authorId="0">
      <text>
        <r>
          <rPr>
            <b/>
            <sz val="8"/>
            <color indexed="81"/>
            <rFont val="Tahoma"/>
            <family val="2"/>
          </rPr>
          <t>Lift coeff. Cl with designed BSLD and choosen static margin on "Planform geometry" page for trimmed level flight without elevon deflection. 
Keep in mind that this is just an estimate using Panknin formula. Comparison with VLM method shows that actual trimmed Cl should be lower.</t>
        </r>
        <r>
          <rPr>
            <sz val="8"/>
            <color indexed="81"/>
            <rFont val="Tahoma"/>
            <family val="2"/>
          </rPr>
          <t xml:space="preserve">
</t>
        </r>
      </text>
    </comment>
    <comment ref="E18" authorId="0">
      <text>
        <r>
          <rPr>
            <b/>
            <sz val="8"/>
            <color indexed="81"/>
            <rFont val="Tahoma"/>
            <family val="2"/>
          </rPr>
          <t>Enter 1 for BSLD where gamma is proportional to sin^3.
Enter 0 for elliptical lift distribution. 
Values between are also possible. See how parameters change on the graph with the change of mi.</t>
        </r>
      </text>
    </comment>
    <comment ref="A21" authorId="0">
      <text>
        <r>
          <rPr>
            <b/>
            <sz val="8"/>
            <color indexed="81"/>
            <rFont val="Tahoma"/>
            <family val="2"/>
          </rPr>
          <t>This value is totally arbitrary at this stage, so take the speed result bellow as a guess.</t>
        </r>
      </text>
    </comment>
    <comment ref="E22" authorId="0">
      <text>
        <r>
          <rPr>
            <b/>
            <sz val="8"/>
            <color indexed="81"/>
            <rFont val="Tahoma"/>
            <family val="2"/>
          </rPr>
          <t>2D airfoil Cl vs AoA gradient, common value is 0,1.</t>
        </r>
      </text>
    </comment>
    <comment ref="A24" authorId="0">
      <text>
        <r>
          <rPr>
            <b/>
            <sz val="8"/>
            <color indexed="81"/>
            <rFont val="Tahoma"/>
            <family val="2"/>
          </rPr>
          <t>This value is totally arbitrary at this stage, so take the speed result bellow as a guess.</t>
        </r>
      </text>
    </comment>
    <comment ref="A28" authorId="0">
      <text>
        <r>
          <rPr>
            <b/>
            <sz val="8"/>
            <color indexed="81"/>
            <rFont val="Tahoma"/>
            <family val="2"/>
          </rPr>
          <t xml:space="preserve">Total geometrical and aerodynamic twist from root to tip
</t>
        </r>
      </text>
    </comment>
    <comment ref="A29" authorId="0">
      <text>
        <r>
          <rPr>
            <b/>
            <sz val="8"/>
            <color indexed="81"/>
            <rFont val="Tahoma"/>
            <family val="2"/>
          </rPr>
          <t xml:space="preserve">Geometrical  twist from root to tip, it depends on Zero lift AoA of the aifoil sections. </t>
        </r>
      </text>
    </comment>
    <comment ref="F33" authorId="0">
      <text>
        <r>
          <rPr>
            <b/>
            <sz val="8"/>
            <color indexed="81"/>
            <rFont val="Tahoma"/>
            <family val="2"/>
          </rPr>
          <t>Calculated Cl for check with right box value, values should be the same. Generally, just ignore this cell.</t>
        </r>
      </text>
    </comment>
    <comment ref="E51" authorId="0">
      <text>
        <r>
          <rPr>
            <b/>
            <sz val="8"/>
            <color indexed="81"/>
            <rFont val="Tahoma"/>
            <family val="2"/>
          </rPr>
          <t>Reynolds number can be used to help you choose appropriate airfoils. 
Values are in millions.</t>
        </r>
        <r>
          <rPr>
            <sz val="8"/>
            <color indexed="81"/>
            <rFont val="Tahoma"/>
            <family val="2"/>
          </rPr>
          <t xml:space="preserve">
</t>
        </r>
      </text>
    </comment>
    <comment ref="E52" authorId="0">
      <text>
        <r>
          <rPr>
            <b/>
            <sz val="8"/>
            <color indexed="81"/>
            <rFont val="Tahoma"/>
            <family val="2"/>
          </rPr>
          <t>Re number for trim speed with zero elevon deflection</t>
        </r>
      </text>
    </comment>
    <comment ref="E73" authorId="0">
      <text>
        <r>
          <rPr>
            <b/>
            <sz val="8"/>
            <color indexed="81"/>
            <rFont val="Tahoma"/>
            <family val="2"/>
          </rPr>
          <t>Altitude above seal level</t>
        </r>
      </text>
    </comment>
    <comment ref="E75" authorId="0">
      <text>
        <r>
          <rPr>
            <b/>
            <sz val="8"/>
            <color indexed="81"/>
            <rFont val="Tahoma"/>
            <family val="2"/>
          </rPr>
          <t>Speed at Cl for which BSLD is designed</t>
        </r>
      </text>
    </comment>
    <comment ref="E78" authorId="0">
      <text>
        <r>
          <rPr>
            <b/>
            <sz val="8"/>
            <color indexed="81"/>
            <rFont val="Tahoma"/>
            <family val="2"/>
          </rPr>
          <t>Enter 1 for BSLD where gamma is proportional to sin^3.
Enter 0 for elliptical lift distribution. 
Values between are also possible. See how parameters change on the graph with the change of mi.</t>
        </r>
      </text>
    </comment>
    <comment ref="E82" authorId="0">
      <text>
        <r>
          <rPr>
            <b/>
            <sz val="8"/>
            <color indexed="81"/>
            <rFont val="Tahoma"/>
            <family val="2"/>
          </rPr>
          <t>2D airfoil Cl vs AoA gradient, common value is 0,1.</t>
        </r>
      </text>
    </comment>
    <comment ref="F93" authorId="0">
      <text>
        <r>
          <rPr>
            <b/>
            <sz val="8"/>
            <color indexed="81"/>
            <rFont val="Tahoma"/>
            <family val="2"/>
          </rPr>
          <t>Calculated Cl for check with right box value, values should be the same. Generally, just ignore this cell.</t>
        </r>
      </text>
    </comment>
    <comment ref="E111" authorId="0">
      <text>
        <r>
          <rPr>
            <b/>
            <sz val="8"/>
            <color indexed="81"/>
            <rFont val="Tahoma"/>
            <family val="2"/>
          </rPr>
          <t>Reynolds number can be used to help you choose appropriate airfoils. 
Values are in millions.</t>
        </r>
        <r>
          <rPr>
            <sz val="8"/>
            <color indexed="81"/>
            <rFont val="Tahoma"/>
            <family val="2"/>
          </rPr>
          <t xml:space="preserve">
</t>
        </r>
      </text>
    </comment>
  </commentList>
</comments>
</file>

<file path=xl/comments3.xml><?xml version="1.0" encoding="utf-8"?>
<comments xmlns="http://schemas.openxmlformats.org/spreadsheetml/2006/main">
  <authors>
    <author>Autor</author>
  </authors>
  <commentList>
    <comment ref="A2" authorId="0">
      <text>
        <r>
          <rPr>
            <b/>
            <sz val="8"/>
            <color indexed="81"/>
            <rFont val="Tahoma"/>
            <family val="2"/>
          </rPr>
          <t>Position of rotating line along the chord for twist calculations.
0 - twist is around LE
1 - twist is around TE</t>
        </r>
      </text>
    </comment>
    <comment ref="A8" authorId="0">
      <text>
        <r>
          <rPr>
            <b/>
            <sz val="8"/>
            <color indexed="81"/>
            <rFont val="Tahoma"/>
            <family val="2"/>
          </rPr>
          <t>See NOTE!</t>
        </r>
      </text>
    </comment>
  </commentList>
</comments>
</file>

<file path=xl/sharedStrings.xml><?xml version="1.0" encoding="utf-8"?>
<sst xmlns="http://schemas.openxmlformats.org/spreadsheetml/2006/main" count="437" uniqueCount="186">
  <si>
    <t>Position</t>
  </si>
  <si>
    <t>Chord</t>
  </si>
  <si>
    <t>Offset</t>
  </si>
  <si>
    <t>Tip</t>
  </si>
  <si>
    <t>Root</t>
  </si>
  <si>
    <t>Twist</t>
  </si>
  <si>
    <t>x</t>
  </si>
  <si>
    <t>y</t>
  </si>
  <si>
    <t>z</t>
  </si>
  <si>
    <t>Rotated coordinates</t>
  </si>
  <si>
    <t>Rot.Point</t>
  </si>
  <si>
    <t>Taper</t>
  </si>
  <si>
    <t>%</t>
  </si>
  <si>
    <t>Elevon Root</t>
  </si>
  <si>
    <t xml:space="preserve">Elev. </t>
  </si>
  <si>
    <t>Tip %</t>
  </si>
  <si>
    <t>Root %</t>
  </si>
  <si>
    <t>TIP</t>
  </si>
  <si>
    <t>1/4sweep</t>
  </si>
  <si>
    <t>MAC:</t>
  </si>
  <si>
    <t>Pfeilmass</t>
  </si>
  <si>
    <t>Front Spar pos</t>
  </si>
  <si>
    <t>Neut. P.</t>
  </si>
  <si>
    <t>C-point</t>
  </si>
  <si>
    <t>E-Point</t>
  </si>
  <si>
    <t>Rear Spar pos</t>
  </si>
  <si>
    <t>CG front</t>
  </si>
  <si>
    <t>MAC calc</t>
  </si>
  <si>
    <t>Hor.</t>
  </si>
  <si>
    <t>Vert.</t>
  </si>
  <si>
    <t>Elevon mac</t>
  </si>
  <si>
    <t>Root E</t>
  </si>
  <si>
    <t>Prop.line</t>
  </si>
  <si>
    <t>Tip E</t>
  </si>
  <si>
    <t>E offset</t>
  </si>
  <si>
    <t>CG</t>
  </si>
  <si>
    <t>Spars</t>
  </si>
  <si>
    <t>Root elevon</t>
  </si>
  <si>
    <t>XE-XCG in %P</t>
  </si>
  <si>
    <t>XC-XCG in %P</t>
  </si>
  <si>
    <t>Elevons</t>
  </si>
  <si>
    <t>Wing area S [m^2]</t>
  </si>
  <si>
    <t>Sweep LE [deg]</t>
  </si>
  <si>
    <t>Span b [m]</t>
  </si>
  <si>
    <t>Tip chord [m]</t>
  </si>
  <si>
    <t>1/4 chord sweep [deg]</t>
  </si>
  <si>
    <t>Tip offset H [m]</t>
  </si>
  <si>
    <t>MAC [m]</t>
  </si>
  <si>
    <t>X E-Point [m]</t>
  </si>
  <si>
    <t>X C-point [m]</t>
  </si>
  <si>
    <t>Pfeilmass P [m]</t>
  </si>
  <si>
    <t>XCG  [m]</t>
  </si>
  <si>
    <t>Elev. H.L. angle [deg]</t>
  </si>
  <si>
    <t>X N-Point [m]</t>
  </si>
  <si>
    <t>El. Root pos. %halfspan</t>
  </si>
  <si>
    <t>Prop Diameter [m]</t>
  </si>
  <si>
    <t>Prop position [m]</t>
  </si>
  <si>
    <t>Span [m]</t>
  </si>
  <si>
    <t>Tip Chord [m]</t>
  </si>
  <si>
    <t>Tip offset [m]</t>
  </si>
  <si>
    <t>Section step [m]</t>
  </si>
  <si>
    <t>Section position [m]</t>
  </si>
  <si>
    <t>LE local offset [m]</t>
  </si>
  <si>
    <t>TE local offset [m]</t>
  </si>
  <si>
    <t>Local chord [m]</t>
  </si>
  <si>
    <t>Position [m]</t>
  </si>
  <si>
    <t xml:space="preserve"> [m]</t>
  </si>
  <si>
    <t>Posit. In % for AF morph.</t>
  </si>
  <si>
    <t>NACA0012</t>
  </si>
  <si>
    <t>Elev. Wing area  [deg]</t>
  </si>
  <si>
    <t>MAC position [m]</t>
  </si>
  <si>
    <t>Stat.Margin in %MAC</t>
  </si>
  <si>
    <t xml:space="preserve">Stat.Margin in %P  </t>
  </si>
  <si>
    <t>Aspect Ratio</t>
  </si>
  <si>
    <t>Propeller</t>
  </si>
  <si>
    <t>Basic wing geometry</t>
  </si>
  <si>
    <t>Stability calculations</t>
  </si>
  <si>
    <t>TWIST (Prandtl) LLT</t>
  </si>
  <si>
    <t>v</t>
  </si>
  <si>
    <t>mi</t>
  </si>
  <si>
    <t>r</t>
  </si>
  <si>
    <t>Gamma</t>
  </si>
  <si>
    <t>S</t>
  </si>
  <si>
    <t>Cruise altitude [m]</t>
  </si>
  <si>
    <t>Cruise alt density [kg/m^3]</t>
  </si>
  <si>
    <t>Re min speed [E+6]</t>
  </si>
  <si>
    <t>Re  cruise [E+6]</t>
  </si>
  <si>
    <t>Re max speed [E+6]</t>
  </si>
  <si>
    <t>NOTE: READ COMMENT!!!</t>
  </si>
  <si>
    <t>Flight level density [kg/m^3]</t>
  </si>
  <si>
    <t>Speed [m/s]</t>
  </si>
  <si>
    <t>mass [kg]</t>
  </si>
  <si>
    <t>ksi relative span position</t>
  </si>
  <si>
    <t>Airfoil ClvsAoA gradient</t>
  </si>
  <si>
    <t>Gamma0 at root</t>
  </si>
  <si>
    <t>w downwash [m/s]</t>
  </si>
  <si>
    <t>radius of gyration r</t>
  </si>
  <si>
    <t>x span position [m]</t>
  </si>
  <si>
    <t>Alpha induced [rad]</t>
  </si>
  <si>
    <t>Alpha induced [deg]</t>
  </si>
  <si>
    <t>Geometric Twist [deg]</t>
  </si>
  <si>
    <t>Zero lift AoA for airfoil</t>
  </si>
  <si>
    <t>Position #</t>
  </si>
  <si>
    <t>Span position [m]</t>
  </si>
  <si>
    <t>Local Chord [m]</t>
  </si>
  <si>
    <t>Local LE offset [m]</t>
  </si>
  <si>
    <t>Geometric twist [deg]</t>
  </si>
  <si>
    <t>Span betw. sections [m]</t>
  </si>
  <si>
    <t>Twist aero+geom. [deg]</t>
  </si>
  <si>
    <t>Aero+Geom. twist (root-tip)[deg]</t>
  </si>
  <si>
    <t>Geom. twist (root-tip)[deg]</t>
  </si>
  <si>
    <t>Root % of local chord</t>
  </si>
  <si>
    <t>Tip % of local chord</t>
  </si>
  <si>
    <t>K1</t>
  </si>
  <si>
    <t>K2</t>
  </si>
  <si>
    <t>AR</t>
  </si>
  <si>
    <t>Total twist</t>
  </si>
  <si>
    <t>Root chord</t>
  </si>
  <si>
    <t>Tip chord</t>
  </si>
  <si>
    <t>Sweep at 1/4 chord</t>
  </si>
  <si>
    <t>Cmo Root</t>
  </si>
  <si>
    <t>Cmo Tip</t>
  </si>
  <si>
    <t>Cl trim flight w/o elevon deflec.</t>
  </si>
  <si>
    <t>Mass of the model [kg]</t>
  </si>
  <si>
    <t>Minimum speed [m/s]</t>
  </si>
  <si>
    <t>Estimated max achivable Cl</t>
  </si>
  <si>
    <t>Min. speed [m/s]</t>
  </si>
  <si>
    <t>Max speed  [m/s]</t>
  </si>
  <si>
    <t>Estimated Cl at max speed</t>
  </si>
  <si>
    <t>Maximum speed [m/s]</t>
  </si>
  <si>
    <t>These cells are only for calculations, please don't change them and just ignore them</t>
  </si>
  <si>
    <t>Rot. Line relative to chord</t>
  </si>
  <si>
    <t>Sea level density [kg/m^3]</t>
  </si>
  <si>
    <t>Flight height ASL [m]</t>
  </si>
  <si>
    <t>Local lift coeff. Cl</t>
  </si>
  <si>
    <t>Cl for Designing BSLD</t>
  </si>
  <si>
    <t>Tail section width</t>
  </si>
  <si>
    <t>Tail</t>
  </si>
  <si>
    <t>Area</t>
  </si>
  <si>
    <t>Tail section Area [m^2]</t>
  </si>
  <si>
    <t>Trailing Edge</t>
  </si>
  <si>
    <t>AC position on MAC:</t>
  </si>
  <si>
    <t>Single El. Area [m^2]</t>
  </si>
  <si>
    <t>NACA0008</t>
  </si>
  <si>
    <t>NACA0010</t>
  </si>
  <si>
    <t>NACA0015</t>
  </si>
  <si>
    <t>Horten Standard 13%</t>
  </si>
  <si>
    <t>Horten II Tropfen sysmétrique 10%</t>
  </si>
  <si>
    <t>Possible Root airfoils</t>
  </si>
  <si>
    <t>Symmetrical airfoils, generally used on wingtips</t>
  </si>
  <si>
    <t>Horten Standard 15%</t>
  </si>
  <si>
    <t>Horten 20</t>
  </si>
  <si>
    <t>Root Ho15%</t>
  </si>
  <si>
    <t>Real root chord [m]</t>
  </si>
  <si>
    <t>Lines TE</t>
  </si>
  <si>
    <t>Root chord basic wing [m]</t>
  </si>
  <si>
    <t>Local real chord [m]</t>
  </si>
  <si>
    <t>Tail section add. [m]</t>
  </si>
  <si>
    <t>Root Ch. basic wing[m]</t>
  </si>
  <si>
    <t>Third section add % of chord</t>
  </si>
  <si>
    <t>Root add [m]</t>
  </si>
  <si>
    <t>Zero lift AoA for root airfoil [deg]</t>
  </si>
  <si>
    <t>Zero lift AoA for tip airfoil [deg]</t>
  </si>
  <si>
    <t>Airfoil data</t>
  </si>
  <si>
    <t>Lift Distribution parameters</t>
  </si>
  <si>
    <t>SM in % of MAC</t>
  </si>
  <si>
    <t>Speed for zero elev. defl. [m/s]</t>
  </si>
  <si>
    <t>Section</t>
  </si>
  <si>
    <t>Reynolds numbers</t>
  </si>
  <si>
    <t>Aero+Geom. twist (root-tip) [deg]</t>
  </si>
  <si>
    <t>Geom. twist (root-tip) [deg]</t>
  </si>
  <si>
    <t>Airfoil ClvsAoA gradient [per deg]</t>
  </si>
  <si>
    <t>Panknin trap. wing</t>
  </si>
  <si>
    <t>Twist data real wing</t>
  </si>
  <si>
    <t>Trim results APPROXIMATION</t>
  </si>
  <si>
    <t>Trim speed  [m/s]</t>
  </si>
  <si>
    <t>1/4chord root</t>
  </si>
  <si>
    <t>tip curves</t>
  </si>
  <si>
    <t>Second section add % of chord</t>
  </si>
  <si>
    <t xml:space="preserve"> </t>
  </si>
  <si>
    <t>Nxmac/MAC</t>
  </si>
  <si>
    <t>Front Spar position %Root</t>
  </si>
  <si>
    <t>Front Spar position %Tip</t>
  </si>
  <si>
    <t>Rear spar position %Root</t>
  </si>
  <si>
    <t>Static margin in % of Pfeilmass</t>
  </si>
  <si>
    <t>Zero lift AoA for local airfoil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</si>
</sst>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0"/>
    <numFmt numFmtId="165" formatCode="#,##0.00000"/>
    <numFmt numFmtId="166" formatCode="0.000"/>
    <numFmt numFmtId="167" formatCode="0.000000"/>
  </numFmts>
  <fonts count="12" x14ac:knownFonts="1">
    <font>
      <sz val="11"/>
      <color theme="1"/>
      <name val="Calibri"/>
      <family val="2"/>
      <scheme val="minor"/>
    </font>
    <font>
      <sz val="11"/>
      <color rgb="FFFF0000"/>
      <name val="Calibri"/>
      <family val="2"/>
      <scheme val="minor"/>
    </font>
    <font>
      <b/>
      <sz val="11"/>
      <color theme="1"/>
      <name val="Calibri"/>
      <family val="2"/>
      <scheme val="minor"/>
    </font>
    <font>
      <b/>
      <sz val="8"/>
      <color indexed="81"/>
      <name val="Tahoma"/>
      <family val="2"/>
    </font>
    <font>
      <b/>
      <sz val="11"/>
      <color rgb="FFFF0000"/>
      <name val="Calibri"/>
      <family val="2"/>
      <scheme val="minor"/>
    </font>
    <font>
      <sz val="8"/>
      <color indexed="81"/>
      <name val="Tahoma"/>
      <family val="2"/>
    </font>
    <font>
      <b/>
      <sz val="11"/>
      <name val="Calibri"/>
      <family val="2"/>
      <scheme val="minor"/>
    </font>
    <font>
      <sz val="11"/>
      <name val="Calibri"/>
      <family val="2"/>
      <scheme val="minor"/>
    </font>
    <font>
      <sz val="11"/>
      <color rgb="FF000000"/>
      <name val="Calibri"/>
      <family val="2"/>
      <scheme val="minor"/>
    </font>
    <font>
      <b/>
      <sz val="16"/>
      <color theme="1"/>
      <name val="Calibri"/>
      <family val="2"/>
      <scheme val="minor"/>
    </font>
    <font>
      <u/>
      <sz val="11"/>
      <color theme="10"/>
      <name val="Calibri"/>
      <family val="2"/>
      <scheme val="minor"/>
    </font>
    <font>
      <u/>
      <sz val="11"/>
      <color theme="1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6"/>
        <bgColor indexed="64"/>
      </patternFill>
    </fill>
    <fill>
      <patternFill patternType="solid">
        <fgColor rgb="FF92D050"/>
        <bgColor indexed="64"/>
      </patternFill>
    </fill>
    <fill>
      <patternFill patternType="solid">
        <fgColor theme="6" tint="0.39997558519241921"/>
        <bgColor indexed="64"/>
      </patternFill>
    </fill>
  </fills>
  <borders count="15">
    <border>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s>
  <cellStyleXfs count="11">
    <xf numFmtId="0" fontId="0"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cellStyleXfs>
  <cellXfs count="77">
    <xf numFmtId="0" fontId="0" fillId="0" borderId="0" xfId="0"/>
    <xf numFmtId="164" fontId="0" fillId="0" borderId="0" xfId="0" applyNumberFormat="1"/>
    <xf numFmtId="0" fontId="0" fillId="0" borderId="0" xfId="0" applyNumberFormat="1"/>
    <xf numFmtId="0" fontId="0" fillId="2" borderId="0" xfId="0" applyFill="1"/>
    <xf numFmtId="0" fontId="1" fillId="0" borderId="0" xfId="0" applyFont="1"/>
    <xf numFmtId="3" fontId="0" fillId="0" borderId="0" xfId="0" applyNumberFormat="1"/>
    <xf numFmtId="0" fontId="2" fillId="0" borderId="0" xfId="0" applyFont="1"/>
    <xf numFmtId="165" fontId="0" fillId="0" borderId="0" xfId="0" applyNumberFormat="1"/>
    <xf numFmtId="0" fontId="2" fillId="0" borderId="0" xfId="0" applyFont="1" applyAlignment="1">
      <alignment horizontal="center"/>
    </xf>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4" fillId="0" borderId="0" xfId="0" applyFont="1"/>
    <xf numFmtId="0" fontId="0" fillId="0" borderId="7" xfId="0" applyBorder="1"/>
    <xf numFmtId="0" fontId="0" fillId="0" borderId="0" xfId="0" applyBorder="1"/>
    <xf numFmtId="0" fontId="2" fillId="4" borderId="9" xfId="0" applyFont="1" applyFill="1" applyBorder="1"/>
    <xf numFmtId="0" fontId="0" fillId="4" borderId="9" xfId="0" applyFill="1" applyBorder="1"/>
    <xf numFmtId="0" fontId="1" fillId="0" borderId="0" xfId="0" applyFont="1" applyAlignment="1"/>
    <xf numFmtId="0" fontId="0" fillId="2" borderId="0" xfId="0" applyFill="1" applyBorder="1"/>
    <xf numFmtId="0" fontId="2" fillId="0" borderId="0" xfId="0" applyFont="1" applyBorder="1"/>
    <xf numFmtId="0" fontId="2" fillId="0" borderId="4" xfId="0" applyFont="1" applyBorder="1"/>
    <xf numFmtId="0" fontId="0" fillId="3" borderId="0" xfId="0" applyFill="1" applyBorder="1"/>
    <xf numFmtId="0" fontId="0" fillId="3" borderId="4" xfId="0" applyFill="1" applyBorder="1"/>
    <xf numFmtId="0" fontId="0" fillId="0" borderId="8" xfId="0" applyBorder="1"/>
    <xf numFmtId="0" fontId="2" fillId="0" borderId="9" xfId="0" applyFont="1" applyBorder="1"/>
    <xf numFmtId="0" fontId="0" fillId="3" borderId="1" xfId="0" applyFill="1" applyBorder="1"/>
    <xf numFmtId="0" fontId="0" fillId="3" borderId="7" xfId="0" applyFill="1" applyBorder="1"/>
    <xf numFmtId="0" fontId="0" fillId="3" borderId="2" xfId="0" applyFill="1" applyBorder="1"/>
    <xf numFmtId="0" fontId="0" fillId="3" borderId="3" xfId="0" applyFill="1" applyBorder="1"/>
    <xf numFmtId="0" fontId="0" fillId="3" borderId="5" xfId="0" applyFill="1" applyBorder="1"/>
    <xf numFmtId="0" fontId="0" fillId="3" borderId="8" xfId="0" applyFill="1" applyBorder="1"/>
    <xf numFmtId="0" fontId="0" fillId="3" borderId="6" xfId="0" applyFill="1" applyBorder="1"/>
    <xf numFmtId="0" fontId="4" fillId="2" borderId="0" xfId="0" applyFont="1" applyFill="1"/>
    <xf numFmtId="0" fontId="1" fillId="0" borderId="0" xfId="0" applyFont="1" applyAlignment="1">
      <alignment horizontal="center"/>
    </xf>
    <xf numFmtId="0" fontId="8" fillId="0" borderId="0" xfId="0" applyFont="1"/>
    <xf numFmtId="0" fontId="0" fillId="0" borderId="0" xfId="0" applyProtection="1">
      <protection locked="0"/>
    </xf>
    <xf numFmtId="0" fontId="0" fillId="0" borderId="0" xfId="0" applyProtection="1">
      <protection hidden="1"/>
    </xf>
    <xf numFmtId="0" fontId="2" fillId="0" borderId="0" xfId="0" applyFont="1" applyProtection="1">
      <protection hidden="1"/>
    </xf>
    <xf numFmtId="0" fontId="6" fillId="0" borderId="0" xfId="0" applyFont="1" applyProtection="1">
      <protection hidden="1"/>
    </xf>
    <xf numFmtId="166" fontId="2" fillId="0" borderId="0" xfId="0" applyNumberFormat="1" applyFont="1" applyProtection="1">
      <protection hidden="1"/>
    </xf>
    <xf numFmtId="0" fontId="0" fillId="4" borderId="10" xfId="0" applyFill="1" applyBorder="1"/>
    <xf numFmtId="0" fontId="2" fillId="4" borderId="11" xfId="0" applyFont="1" applyFill="1" applyBorder="1"/>
    <xf numFmtId="0" fontId="0" fillId="0" borderId="1" xfId="0" applyBorder="1"/>
    <xf numFmtId="0" fontId="7" fillId="0" borderId="3" xfId="0" applyFont="1" applyBorder="1"/>
    <xf numFmtId="167" fontId="0" fillId="0" borderId="0" xfId="0" applyNumberFormat="1"/>
    <xf numFmtId="0" fontId="0" fillId="0" borderId="0" xfId="0" applyFont="1"/>
    <xf numFmtId="0" fontId="2" fillId="0" borderId="0" xfId="0" applyFont="1" applyBorder="1" applyAlignment="1">
      <alignment horizontal="center"/>
    </xf>
    <xf numFmtId="0" fontId="2" fillId="0" borderId="3" xfId="0" applyFont="1" applyBorder="1" applyAlignment="1">
      <alignment horizontal="center"/>
    </xf>
    <xf numFmtId="167" fontId="0" fillId="2" borderId="0" xfId="0" applyNumberFormat="1" applyFill="1"/>
    <xf numFmtId="0" fontId="0" fillId="2" borderId="2" xfId="0" applyFill="1" applyBorder="1" applyProtection="1">
      <protection locked="0"/>
    </xf>
    <xf numFmtId="0" fontId="0" fillId="2" borderId="4" xfId="0" applyFill="1" applyBorder="1" applyProtection="1">
      <protection locked="0"/>
    </xf>
    <xf numFmtId="0" fontId="0" fillId="2" borderId="6" xfId="0" applyFill="1" applyBorder="1" applyProtection="1">
      <protection locked="0"/>
    </xf>
    <xf numFmtId="0" fontId="0" fillId="2" borderId="14" xfId="0" applyFill="1" applyBorder="1" applyProtection="1">
      <protection locked="0"/>
    </xf>
    <xf numFmtId="0" fontId="0" fillId="2" borderId="2" xfId="0" applyFill="1" applyBorder="1"/>
    <xf numFmtId="0" fontId="0" fillId="2" borderId="4" xfId="0" applyFill="1" applyBorder="1"/>
    <xf numFmtId="0" fontId="0" fillId="4" borderId="6" xfId="0" applyFill="1" applyBorder="1"/>
    <xf numFmtId="0" fontId="7" fillId="0" borderId="5" xfId="0" applyFont="1" applyBorder="1"/>
    <xf numFmtId="0" fontId="0" fillId="2" borderId="6" xfId="0" applyFill="1" applyBorder="1"/>
    <xf numFmtId="0" fontId="0" fillId="2" borderId="14" xfId="0" applyFill="1" applyBorder="1"/>
    <xf numFmtId="0" fontId="0" fillId="4" borderId="4" xfId="0" applyFill="1" applyBorder="1"/>
    <xf numFmtId="2" fontId="2" fillId="4" borderId="9" xfId="0" applyNumberFormat="1" applyFont="1" applyFill="1" applyBorder="1" applyProtection="1">
      <protection locked="0"/>
    </xf>
    <xf numFmtId="0" fontId="2" fillId="5" borderId="10" xfId="0" applyFont="1" applyFill="1" applyBorder="1"/>
    <xf numFmtId="0" fontId="2" fillId="5" borderId="9" xfId="0" applyFont="1" applyFill="1" applyBorder="1"/>
    <xf numFmtId="0" fontId="6" fillId="5" borderId="10" xfId="0" applyFont="1" applyFill="1" applyBorder="1"/>
    <xf numFmtId="0" fontId="0" fillId="2" borderId="10" xfId="0" applyFill="1" applyBorder="1"/>
    <xf numFmtId="0" fontId="2" fillId="5" borderId="12" xfId="0" applyFont="1" applyFill="1" applyBorder="1"/>
    <xf numFmtId="0" fontId="2" fillId="5" borderId="13" xfId="0" applyFont="1" applyFill="1" applyBorder="1"/>
    <xf numFmtId="0" fontId="2" fillId="5" borderId="14" xfId="0" applyFont="1" applyFill="1" applyBorder="1"/>
    <xf numFmtId="0" fontId="9" fillId="0" borderId="0" xfId="0" applyFont="1" applyAlignment="1" applyProtection="1">
      <alignment horizontal="center"/>
      <protection hidden="1"/>
    </xf>
    <xf numFmtId="0" fontId="0" fillId="0" borderId="0" xfId="0" applyAlignment="1" applyProtection="1">
      <alignment horizontal="center"/>
      <protection hidden="1"/>
    </xf>
    <xf numFmtId="0" fontId="2" fillId="5" borderId="7" xfId="0" applyFont="1" applyFill="1" applyBorder="1" applyAlignment="1">
      <alignment horizontal="center"/>
    </xf>
    <xf numFmtId="0" fontId="2" fillId="5" borderId="0" xfId="0" applyFont="1" applyFill="1" applyAlignment="1">
      <alignment horizontal="center"/>
    </xf>
    <xf numFmtId="0" fontId="2" fillId="2" borderId="12" xfId="0" applyFont="1" applyFill="1" applyBorder="1" applyAlignment="1">
      <alignment horizontal="center"/>
    </xf>
    <xf numFmtId="0" fontId="2" fillId="2" borderId="13" xfId="0" applyFont="1" applyFill="1" applyBorder="1" applyAlignment="1">
      <alignment horizontal="center"/>
    </xf>
    <xf numFmtId="0" fontId="2" fillId="2" borderId="14" xfId="0" applyFont="1" applyFill="1" applyBorder="1" applyAlignment="1">
      <alignment horizontal="center"/>
    </xf>
  </cellXfs>
  <cellStyles count="11">
    <cellStyle name="Hiperłącze" xfId="1" builtinId="8" hidden="1"/>
    <cellStyle name="Hiperłącze" xfId="3" builtinId="8" hidden="1"/>
    <cellStyle name="Hiperłącze" xfId="5" builtinId="8" hidden="1"/>
    <cellStyle name="Hiperłącze" xfId="7" builtinId="8" hidden="1"/>
    <cellStyle name="Hiperłącze" xfId="9" builtinId="8" hidden="1"/>
    <cellStyle name="Standardowy" xfId="0" builtinId="0"/>
    <cellStyle name="Użyte hiperłącze" xfId="2" builtinId="9" hidden="1"/>
    <cellStyle name="Użyte hiperłącze" xfId="4" builtinId="9" hidden="1"/>
    <cellStyle name="Użyte hiperłącze" xfId="6" builtinId="9" hidden="1"/>
    <cellStyle name="Użyte hiperłącze" xfId="8" builtinId="9" hidden="1"/>
    <cellStyle name="Użyte hiperłącze" xfId="10" builtinId="9" hidde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theme" Target="theme/theme1.xml"/><Relationship Id="rId21" Type="http://schemas.openxmlformats.org/officeDocument/2006/relationships/styles" Target="styles.xml"/><Relationship Id="rId22" Type="http://schemas.openxmlformats.org/officeDocument/2006/relationships/sharedStrings" Target="sharedStrings.xml"/><Relationship Id="rId23"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0217691759942184"/>
          <c:y val="0.0115176496283978"/>
          <c:w val="0.972845112196461"/>
          <c:h val="0.960297511027139"/>
        </c:manualLayout>
      </c:layout>
      <c:scatterChart>
        <c:scatterStyle val="smoothMarker"/>
        <c:varyColors val="0"/>
        <c:ser>
          <c:idx val="0"/>
          <c:order val="0"/>
          <c:tx>
            <c:strRef>
              <c:f>'Planform Geometry'!$G$9:$H$9</c:f>
              <c:strCache>
                <c:ptCount val="1"/>
                <c:pt idx="0">
                  <c:v>0 0,971184843</c:v>
                </c:pt>
              </c:strCache>
            </c:strRef>
          </c:tx>
          <c:spPr>
            <a:ln>
              <a:solidFill>
                <a:sysClr val="windowText" lastClr="000000"/>
              </a:solidFill>
            </a:ln>
          </c:spPr>
          <c:marker>
            <c:symbol val="none"/>
          </c:marker>
          <c:xVal>
            <c:numRef>
              <c:f>'Planform Geometry'!$G$9:$H$9</c:f>
              <c:numCache>
                <c:formatCode>General</c:formatCode>
                <c:ptCount val="2"/>
                <c:pt idx="0">
                  <c:v>0.0</c:v>
                </c:pt>
                <c:pt idx="1">
                  <c:v>0.971184843374319</c:v>
                </c:pt>
              </c:numCache>
            </c:numRef>
          </c:xVal>
          <c:yVal>
            <c:numRef>
              <c:f>'Planform Geometry'!$G$10:$H$10</c:f>
              <c:numCache>
                <c:formatCode>General</c:formatCode>
                <c:ptCount val="2"/>
                <c:pt idx="0">
                  <c:v>0.0</c:v>
                </c:pt>
                <c:pt idx="1">
                  <c:v>-0.606481362492068</c:v>
                </c:pt>
              </c:numCache>
            </c:numRef>
          </c:yVal>
          <c:smooth val="1"/>
        </c:ser>
        <c:ser>
          <c:idx val="1"/>
          <c:order val="1"/>
          <c:spPr>
            <a:ln>
              <a:solidFill>
                <a:sysClr val="windowText" lastClr="000000"/>
              </a:solidFill>
            </a:ln>
          </c:spPr>
          <c:marker>
            <c:symbol val="none"/>
          </c:marker>
          <c:xVal>
            <c:numRef>
              <c:f>'Planform Geometry'!$I$9:$J$9</c:f>
              <c:numCache>
                <c:formatCode>General</c:formatCode>
                <c:ptCount val="2"/>
                <c:pt idx="0">
                  <c:v>0.0</c:v>
                </c:pt>
                <c:pt idx="1">
                  <c:v>-0.971184843374319</c:v>
                </c:pt>
              </c:numCache>
            </c:numRef>
          </c:xVal>
          <c:yVal>
            <c:numRef>
              <c:f>'Planform Geometry'!$I$10:$J$10</c:f>
              <c:numCache>
                <c:formatCode>General</c:formatCode>
                <c:ptCount val="2"/>
                <c:pt idx="0">
                  <c:v>0.0</c:v>
                </c:pt>
                <c:pt idx="1">
                  <c:v>-0.606481362492068</c:v>
                </c:pt>
              </c:numCache>
            </c:numRef>
          </c:yVal>
          <c:smooth val="1"/>
        </c:ser>
        <c:ser>
          <c:idx val="2"/>
          <c:order val="2"/>
          <c:tx>
            <c:strRef>
              <c:f>'Planform Geometry'!$G$13:$H$13</c:f>
              <c:strCache>
                <c:ptCount val="1"/>
                <c:pt idx="0">
                  <c:v>0 0</c:v>
                </c:pt>
              </c:strCache>
            </c:strRef>
          </c:tx>
          <c:spPr>
            <a:ln>
              <a:solidFill>
                <a:sysClr val="windowText" lastClr="000000"/>
              </a:solidFill>
            </a:ln>
          </c:spPr>
          <c:marker>
            <c:symbol val="none"/>
          </c:marker>
          <c:xVal>
            <c:numRef>
              <c:f>'Planform Geometry'!$G$13:$H$13</c:f>
              <c:numCache>
                <c:formatCode>General</c:formatCode>
                <c:ptCount val="2"/>
                <c:pt idx="0">
                  <c:v>0.0</c:v>
                </c:pt>
                <c:pt idx="1">
                  <c:v>0.0</c:v>
                </c:pt>
              </c:numCache>
            </c:numRef>
          </c:xVal>
          <c:yVal>
            <c:numRef>
              <c:f>'Planform Geometry'!$G$14:$H$14</c:f>
              <c:numCache>
                <c:formatCode>General</c:formatCode>
                <c:ptCount val="2"/>
                <c:pt idx="0">
                  <c:v>0.0</c:v>
                </c:pt>
                <c:pt idx="1">
                  <c:v>-0.606351159028179</c:v>
                </c:pt>
              </c:numCache>
            </c:numRef>
          </c:yVal>
          <c:smooth val="1"/>
        </c:ser>
        <c:ser>
          <c:idx val="3"/>
          <c:order val="3"/>
          <c:spPr>
            <a:ln>
              <a:solidFill>
                <a:schemeClr val="tx1"/>
              </a:solidFill>
            </a:ln>
          </c:spPr>
          <c:marker>
            <c:symbol val="none"/>
          </c:marker>
          <c:xVal>
            <c:numRef>
              <c:f>'Planform Geometry'!$G$18:$H$18</c:f>
              <c:numCache>
                <c:formatCode>General</c:formatCode>
                <c:ptCount val="2"/>
                <c:pt idx="0">
                  <c:v>0.971184843374319</c:v>
                </c:pt>
                <c:pt idx="1">
                  <c:v>0.971184843374319</c:v>
                </c:pt>
              </c:numCache>
            </c:numRef>
          </c:xVal>
          <c:yVal>
            <c:numRef>
              <c:f>'Planform Geometry'!$G$19:$H$19</c:f>
              <c:numCache>
                <c:formatCode>General</c:formatCode>
                <c:ptCount val="2"/>
                <c:pt idx="0">
                  <c:v>-0.606481362492068</c:v>
                </c:pt>
                <c:pt idx="1">
                  <c:v>-0.795282611679998</c:v>
                </c:pt>
              </c:numCache>
            </c:numRef>
          </c:yVal>
          <c:smooth val="1"/>
        </c:ser>
        <c:ser>
          <c:idx val="4"/>
          <c:order val="4"/>
          <c:spPr>
            <a:ln>
              <a:solidFill>
                <a:sysClr val="windowText" lastClr="000000"/>
              </a:solidFill>
            </a:ln>
          </c:spPr>
          <c:marker>
            <c:symbol val="none"/>
          </c:marker>
          <c:xVal>
            <c:numRef>
              <c:f>'Planform Geometry'!$I$18:$J$18</c:f>
              <c:numCache>
                <c:formatCode>General</c:formatCode>
                <c:ptCount val="2"/>
                <c:pt idx="0">
                  <c:v>-0.971184843374319</c:v>
                </c:pt>
                <c:pt idx="1">
                  <c:v>-0.971184843374319</c:v>
                </c:pt>
              </c:numCache>
            </c:numRef>
          </c:xVal>
          <c:yVal>
            <c:numRef>
              <c:f>'Planform Geometry'!$I$19:$J$19</c:f>
              <c:numCache>
                <c:formatCode>General</c:formatCode>
                <c:ptCount val="2"/>
                <c:pt idx="0">
                  <c:v>-0.606481362492068</c:v>
                </c:pt>
                <c:pt idx="1">
                  <c:v>-0.795282611679998</c:v>
                </c:pt>
              </c:numCache>
            </c:numRef>
          </c:yVal>
          <c:smooth val="1"/>
        </c:ser>
        <c:ser>
          <c:idx val="5"/>
          <c:order val="5"/>
          <c:spPr>
            <a:ln>
              <a:solidFill>
                <a:sysClr val="windowText" lastClr="000000"/>
              </a:solidFill>
              <a:prstDash val="dash"/>
            </a:ln>
          </c:spPr>
          <c:marker>
            <c:symbol val="none"/>
          </c:marker>
          <c:xVal>
            <c:numRef>
              <c:f>'Planform Geometry'!$M$14:$N$14</c:f>
              <c:numCache>
                <c:formatCode>General</c:formatCode>
                <c:ptCount val="2"/>
                <c:pt idx="0">
                  <c:v>0.0</c:v>
                </c:pt>
                <c:pt idx="1">
                  <c:v>0.971184843374319</c:v>
                </c:pt>
              </c:numCache>
            </c:numRef>
          </c:xVal>
          <c:yVal>
            <c:numRef>
              <c:f>'Planform Geometry'!$M$15:$N$15</c:f>
              <c:numCache>
                <c:formatCode>General</c:formatCode>
                <c:ptCount val="2"/>
                <c:pt idx="0">
                  <c:v>-0.151587789757045</c:v>
                </c:pt>
                <c:pt idx="1">
                  <c:v>-0.695234670440348</c:v>
                </c:pt>
              </c:numCache>
            </c:numRef>
          </c:yVal>
          <c:smooth val="1"/>
        </c:ser>
        <c:ser>
          <c:idx val="8"/>
          <c:order val="6"/>
          <c:spPr>
            <a:ln>
              <a:solidFill>
                <a:sysClr val="windowText" lastClr="000000"/>
              </a:solidFill>
            </a:ln>
          </c:spPr>
          <c:marker>
            <c:symbol val="none"/>
          </c:marker>
          <c:xVal>
            <c:numRef>
              <c:f>'Planform Geometry'!$M$19:$N$19</c:f>
              <c:numCache>
                <c:formatCode>General</c:formatCode>
                <c:ptCount val="2"/>
                <c:pt idx="0">
                  <c:v>0.0</c:v>
                </c:pt>
                <c:pt idx="1">
                  <c:v>-0.971184843374319</c:v>
                </c:pt>
              </c:numCache>
            </c:numRef>
          </c:xVal>
          <c:yVal>
            <c:numRef>
              <c:f>'Planform Geometry'!$M$20:$N$20</c:f>
              <c:numCache>
                <c:formatCode>General</c:formatCode>
                <c:ptCount val="2"/>
                <c:pt idx="0">
                  <c:v>-0.151587789757045</c:v>
                </c:pt>
                <c:pt idx="1">
                  <c:v>-0.688564807691038</c:v>
                </c:pt>
              </c:numCache>
            </c:numRef>
          </c:yVal>
          <c:smooth val="1"/>
        </c:ser>
        <c:ser>
          <c:idx val="9"/>
          <c:order val="7"/>
          <c:spPr>
            <a:ln>
              <a:solidFill>
                <a:sysClr val="windowText" lastClr="000000"/>
              </a:solidFill>
            </a:ln>
          </c:spPr>
          <c:marker>
            <c:symbol val="none"/>
          </c:marker>
          <c:xVal>
            <c:numRef>
              <c:f>'Planform Geometry'!$M$23:$N$23</c:f>
              <c:numCache>
                <c:formatCode>General</c:formatCode>
                <c:ptCount val="2"/>
                <c:pt idx="0">
                  <c:v>0.0</c:v>
                </c:pt>
                <c:pt idx="1">
                  <c:v>-0.388473937349727</c:v>
                </c:pt>
              </c:numCache>
            </c:numRef>
          </c:xVal>
          <c:yVal>
            <c:numRef>
              <c:f>'Planform Geometry'!$M$24:$N$24</c:f>
              <c:numCache>
                <c:formatCode>General</c:formatCode>
                <c:ptCount val="2"/>
                <c:pt idx="0">
                  <c:v>-0.545716043125361</c:v>
                </c:pt>
                <c:pt idx="1">
                  <c:v>-0.626624514385536</c:v>
                </c:pt>
              </c:numCache>
            </c:numRef>
          </c:yVal>
          <c:smooth val="1"/>
        </c:ser>
        <c:ser>
          <c:idx val="16"/>
          <c:order val="8"/>
          <c:spPr>
            <a:ln>
              <a:solidFill>
                <a:sysClr val="windowText" lastClr="000000"/>
              </a:solidFill>
            </a:ln>
          </c:spPr>
          <c:marker>
            <c:symbol val="none"/>
          </c:marker>
          <c:xVal>
            <c:numRef>
              <c:f>'Planform Geometry'!$M$10:$N$10</c:f>
              <c:numCache>
                <c:formatCode>General</c:formatCode>
                <c:ptCount val="2"/>
                <c:pt idx="0">
                  <c:v>0.971184843374319</c:v>
                </c:pt>
                <c:pt idx="1">
                  <c:v>0.388473937349727</c:v>
                </c:pt>
              </c:numCache>
            </c:numRef>
          </c:xVal>
          <c:yVal>
            <c:numRef>
              <c:f>'Planform Geometry'!$M$11:$N$11</c:f>
              <c:numCache>
                <c:formatCode>General</c:formatCode>
                <c:ptCount val="2"/>
                <c:pt idx="0">
                  <c:v>-0.761266311658517</c:v>
                </c:pt>
                <c:pt idx="1">
                  <c:v>-0.626624514385536</c:v>
                </c:pt>
              </c:numCache>
            </c:numRef>
          </c:yVal>
          <c:smooth val="1"/>
        </c:ser>
        <c:ser>
          <c:idx val="17"/>
          <c:order val="9"/>
          <c:spPr>
            <a:ln>
              <a:solidFill>
                <a:sysClr val="windowText" lastClr="000000"/>
              </a:solidFill>
            </a:ln>
          </c:spPr>
          <c:marker>
            <c:symbol val="none"/>
          </c:marker>
          <c:xVal>
            <c:numRef>
              <c:f>'Planform Geometry'!$O$10:$P$10</c:f>
              <c:numCache>
                <c:formatCode>General</c:formatCode>
                <c:ptCount val="2"/>
                <c:pt idx="0">
                  <c:v>-0.971184843374319</c:v>
                </c:pt>
                <c:pt idx="1">
                  <c:v>-0.388473937349727</c:v>
                </c:pt>
              </c:numCache>
            </c:numRef>
          </c:xVal>
          <c:yVal>
            <c:numRef>
              <c:f>'Planform Geometry'!$O$11:$P$11</c:f>
              <c:numCache>
                <c:formatCode>General</c:formatCode>
                <c:ptCount val="2"/>
                <c:pt idx="0">
                  <c:v>-0.761266311658517</c:v>
                </c:pt>
                <c:pt idx="1">
                  <c:v>-0.626624514385536</c:v>
                </c:pt>
              </c:numCache>
            </c:numRef>
          </c:yVal>
          <c:smooth val="1"/>
        </c:ser>
        <c:ser>
          <c:idx val="18"/>
          <c:order val="10"/>
          <c:marker>
            <c:symbol val="none"/>
          </c:marker>
          <c:xVal>
            <c:numRef>
              <c:f>'Planform geometry'!#REF!</c:f>
            </c:numRef>
          </c:xVal>
          <c:yVal>
            <c:numRef>
              <c:f>'Planform geometry'!#REF!</c:f>
              <c:numCache>
                <c:formatCode>General</c:formatCode>
                <c:ptCount val="1"/>
                <c:pt idx="0">
                  <c:v>1.0</c:v>
                </c:pt>
              </c:numCache>
            </c:numRef>
          </c:yVal>
          <c:smooth val="1"/>
        </c:ser>
        <c:ser>
          <c:idx val="19"/>
          <c:order val="11"/>
          <c:spPr>
            <a:ln w="50800">
              <a:solidFill>
                <a:srgbClr val="FF0000"/>
              </a:solidFill>
            </a:ln>
          </c:spPr>
          <c:marker>
            <c:symbol val="none"/>
          </c:marker>
          <c:xVal>
            <c:numRef>
              <c:f>'Planform Geometry'!$S$20:$T$20</c:f>
              <c:numCache>
                <c:formatCode>General</c:formatCode>
                <c:ptCount val="2"/>
                <c:pt idx="0">
                  <c:v>0.2</c:v>
                </c:pt>
                <c:pt idx="1">
                  <c:v>-0.2</c:v>
                </c:pt>
              </c:numCache>
            </c:numRef>
          </c:xVal>
          <c:yVal>
            <c:numRef>
              <c:f>'Planform Geometry'!$S$19:$T$19</c:f>
              <c:numCache>
                <c:formatCode>0.000</c:formatCode>
                <c:ptCount val="2"/>
                <c:pt idx="0">
                  <c:v>-0.338358683082655</c:v>
                </c:pt>
                <c:pt idx="1">
                  <c:v>-0.338358683082655</c:v>
                </c:pt>
              </c:numCache>
            </c:numRef>
          </c:yVal>
          <c:smooth val="1"/>
        </c:ser>
        <c:ser>
          <c:idx val="20"/>
          <c:order val="12"/>
          <c:spPr>
            <a:ln w="63500">
              <a:solidFill>
                <a:sysClr val="windowText" lastClr="000000"/>
              </a:solidFill>
            </a:ln>
          </c:spPr>
          <c:marker>
            <c:symbol val="none"/>
          </c:marker>
          <c:xVal>
            <c:numRef>
              <c:f>'Planform Geometry'!$S$15:$T$15</c:f>
              <c:numCache>
                <c:formatCode>General</c:formatCode>
                <c:ptCount val="2"/>
                <c:pt idx="0">
                  <c:v>0.35</c:v>
                </c:pt>
                <c:pt idx="1">
                  <c:v>-0.35</c:v>
                </c:pt>
              </c:numCache>
            </c:numRef>
          </c:xVal>
          <c:yVal>
            <c:numRef>
              <c:f>'Planform Geometry'!$S$14:$T$14</c:f>
              <c:numCache>
                <c:formatCode>General</c:formatCode>
                <c:ptCount val="2"/>
                <c:pt idx="0">
                  <c:v>-1.1</c:v>
                </c:pt>
                <c:pt idx="1">
                  <c:v>-1.1</c:v>
                </c:pt>
              </c:numCache>
            </c:numRef>
          </c:yVal>
          <c:smooth val="1"/>
        </c:ser>
        <c:ser>
          <c:idx val="21"/>
          <c:order val="13"/>
          <c:spPr>
            <a:ln>
              <a:solidFill>
                <a:sysClr val="windowText" lastClr="000000"/>
              </a:solidFill>
            </a:ln>
          </c:spPr>
          <c:marker>
            <c:symbol val="none"/>
          </c:marker>
          <c:xVal>
            <c:numRef>
              <c:f>'Planform Geometry'!$G$22:$H$22</c:f>
              <c:numCache>
                <c:formatCode>General</c:formatCode>
                <c:ptCount val="2"/>
                <c:pt idx="0">
                  <c:v>0.24279621084358</c:v>
                </c:pt>
                <c:pt idx="1">
                  <c:v>0.971184843374319</c:v>
                </c:pt>
              </c:numCache>
            </c:numRef>
          </c:xVal>
          <c:yVal>
            <c:numRef>
              <c:f>'Planform Geometry'!$G$23:$H$23</c:f>
              <c:numCache>
                <c:formatCode>General</c:formatCode>
                <c:ptCount val="2"/>
                <c:pt idx="0">
                  <c:v>-0.653584022191133</c:v>
                </c:pt>
                <c:pt idx="1">
                  <c:v>-0.795282611679998</c:v>
                </c:pt>
              </c:numCache>
            </c:numRef>
          </c:yVal>
          <c:smooth val="1"/>
        </c:ser>
        <c:ser>
          <c:idx val="22"/>
          <c:order val="14"/>
          <c:spPr>
            <a:ln>
              <a:solidFill>
                <a:sysClr val="windowText" lastClr="000000"/>
              </a:solidFill>
            </a:ln>
          </c:spPr>
          <c:marker>
            <c:symbol val="none"/>
          </c:marker>
          <c:xVal>
            <c:numRef>
              <c:f>'Planform Geometry'!$I$22:$J$22</c:f>
              <c:numCache>
                <c:formatCode>General</c:formatCode>
                <c:ptCount val="2"/>
                <c:pt idx="0">
                  <c:v>-0.24279621084358</c:v>
                </c:pt>
                <c:pt idx="1">
                  <c:v>-0.971184843374319</c:v>
                </c:pt>
              </c:numCache>
            </c:numRef>
          </c:xVal>
          <c:yVal>
            <c:numRef>
              <c:f>'Planform Geometry'!$I$23:$J$23</c:f>
              <c:numCache>
                <c:formatCode>General</c:formatCode>
                <c:ptCount val="2"/>
                <c:pt idx="0">
                  <c:v>-0.653584022191133</c:v>
                </c:pt>
                <c:pt idx="1">
                  <c:v>-0.795282611679998</c:v>
                </c:pt>
              </c:numCache>
            </c:numRef>
          </c:yVal>
          <c:smooth val="1"/>
        </c:ser>
        <c:ser>
          <c:idx val="23"/>
          <c:order val="15"/>
          <c:spPr>
            <a:ln w="38100">
              <a:solidFill>
                <a:srgbClr val="9BBB59"/>
              </a:solidFill>
            </a:ln>
          </c:spPr>
          <c:marker>
            <c:symbol val="none"/>
          </c:marker>
          <c:xVal>
            <c:numRef>
              <c:f>'Planform Geometry'!$X$52:$Y$52</c:f>
              <c:numCache>
                <c:formatCode>General</c:formatCode>
                <c:ptCount val="2"/>
              </c:numCache>
            </c:numRef>
          </c:xVal>
          <c:yVal>
            <c:numRef>
              <c:f>'Planform Geometry'!$X$53:$Y$53</c:f>
              <c:numCache>
                <c:formatCode>General</c:formatCode>
                <c:ptCount val="2"/>
              </c:numCache>
            </c:numRef>
          </c:yVal>
          <c:smooth val="1"/>
        </c:ser>
        <c:ser>
          <c:idx val="24"/>
          <c:order val="16"/>
          <c:spPr>
            <a:ln>
              <a:solidFill>
                <a:sysClr val="windowText" lastClr="000000"/>
              </a:solidFill>
            </a:ln>
          </c:spPr>
          <c:marker>
            <c:symbol val="none"/>
          </c:marker>
          <c:xVal>
            <c:numRef>
              <c:f>'Planform Geometry'!$S$23:$T$23</c:f>
              <c:numCache>
                <c:formatCode>General</c:formatCode>
                <c:ptCount val="2"/>
                <c:pt idx="0">
                  <c:v>0.388473937349727</c:v>
                </c:pt>
                <c:pt idx="1">
                  <c:v>0.388473937349727</c:v>
                </c:pt>
              </c:numCache>
            </c:numRef>
          </c:xVal>
          <c:yVal>
            <c:numRef>
              <c:f>'Planform Geometry'!$S$24:$T$24</c:f>
              <c:numCache>
                <c:formatCode>General</c:formatCode>
                <c:ptCount val="2"/>
                <c:pt idx="0">
                  <c:v>-0.242592544996827</c:v>
                </c:pt>
                <c:pt idx="1">
                  <c:v>-0.681923740088906</c:v>
                </c:pt>
              </c:numCache>
            </c:numRef>
          </c:yVal>
          <c:smooth val="1"/>
        </c:ser>
        <c:ser>
          <c:idx val="25"/>
          <c:order val="17"/>
          <c:spPr>
            <a:ln>
              <a:solidFill>
                <a:sysClr val="windowText" lastClr="000000"/>
              </a:solidFill>
            </a:ln>
          </c:spPr>
          <c:marker>
            <c:symbol val="none"/>
          </c:marker>
          <c:xVal>
            <c:numRef>
              <c:f>'Planform Geometry'!$U$23:$V$23</c:f>
              <c:numCache>
                <c:formatCode>General</c:formatCode>
                <c:ptCount val="2"/>
                <c:pt idx="0">
                  <c:v>-0.388473937349727</c:v>
                </c:pt>
                <c:pt idx="1">
                  <c:v>-0.388473937349727</c:v>
                </c:pt>
              </c:numCache>
            </c:numRef>
          </c:xVal>
          <c:yVal>
            <c:numRef>
              <c:f>'Planform Geometry'!$S$24:$T$24</c:f>
              <c:numCache>
                <c:formatCode>General</c:formatCode>
                <c:ptCount val="2"/>
                <c:pt idx="0">
                  <c:v>-0.242592544996827</c:v>
                </c:pt>
                <c:pt idx="1">
                  <c:v>-0.681923740088906</c:v>
                </c:pt>
              </c:numCache>
            </c:numRef>
          </c:yVal>
          <c:smooth val="1"/>
        </c:ser>
        <c:ser>
          <c:idx val="26"/>
          <c:order val="18"/>
          <c:spPr>
            <a:ln w="38100">
              <a:solidFill>
                <a:schemeClr val="accent3"/>
              </a:solidFill>
            </a:ln>
          </c:spPr>
          <c:marker>
            <c:symbol val="none"/>
          </c:marker>
          <c:xVal>
            <c:numRef>
              <c:f>'Planform Geometry'!$G$27:$H$27</c:f>
              <c:numCache>
                <c:formatCode>General</c:formatCode>
                <c:ptCount val="2"/>
                <c:pt idx="0">
                  <c:v>0.417012061447431</c:v>
                </c:pt>
                <c:pt idx="1">
                  <c:v>0.417012061447431</c:v>
                </c:pt>
              </c:numCache>
            </c:numRef>
          </c:xVal>
          <c:yVal>
            <c:numRef>
              <c:f>'Planform Geometry'!$G$28:$H$28</c:f>
              <c:numCache>
                <c:formatCode>General</c:formatCode>
                <c:ptCount val="2"/>
                <c:pt idx="0">
                  <c:v>-0.260413910830347</c:v>
                </c:pt>
                <c:pt idx="1">
                  <c:v>-0.680684845317419</c:v>
                </c:pt>
              </c:numCache>
            </c:numRef>
          </c:yVal>
          <c:smooth val="1"/>
        </c:ser>
        <c:ser>
          <c:idx val="6"/>
          <c:order val="19"/>
          <c:spPr>
            <a:ln>
              <a:solidFill>
                <a:schemeClr val="accent1"/>
              </a:solidFill>
            </a:ln>
          </c:spPr>
          <c:marker>
            <c:symbol val="none"/>
          </c:marker>
          <c:xVal>
            <c:numRef>
              <c:f>'Planform Geometry'!$H$38:$H$39</c:f>
              <c:numCache>
                <c:formatCode>General</c:formatCode>
                <c:ptCount val="2"/>
                <c:pt idx="0">
                  <c:v>-0.0809320702811932</c:v>
                </c:pt>
                <c:pt idx="1">
                  <c:v>-0.0809320702811932</c:v>
                </c:pt>
              </c:numCache>
            </c:numRef>
          </c:xVal>
          <c:yVal>
            <c:numRef>
              <c:f>'Planform Geometry'!$H$53:$H$54</c:f>
              <c:numCache>
                <c:formatCode>General</c:formatCode>
                <c:ptCount val="2"/>
                <c:pt idx="0">
                  <c:v>-0.0505401135410057</c:v>
                </c:pt>
                <c:pt idx="1">
                  <c:v>-0.706810370174307</c:v>
                </c:pt>
              </c:numCache>
            </c:numRef>
          </c:yVal>
          <c:smooth val="1"/>
        </c:ser>
        <c:ser>
          <c:idx val="7"/>
          <c:order val="20"/>
          <c:spPr>
            <a:ln>
              <a:solidFill>
                <a:srgbClr val="4F81BD"/>
              </a:solidFill>
            </a:ln>
          </c:spPr>
          <c:marker>
            <c:symbol val="none"/>
          </c:marker>
          <c:xVal>
            <c:numRef>
              <c:f>'Planform Geometry'!$I$38:$I$39</c:f>
              <c:numCache>
                <c:formatCode>General</c:formatCode>
                <c:ptCount val="2"/>
                <c:pt idx="0">
                  <c:v>-0.161864140562386</c:v>
                </c:pt>
                <c:pt idx="1">
                  <c:v>-0.161864140562386</c:v>
                </c:pt>
              </c:numCache>
            </c:numRef>
          </c:xVal>
          <c:yVal>
            <c:numRef>
              <c:f>'Planform Geometry'!$I$53:$I$54</c:f>
              <c:numCache>
                <c:formatCode>General</c:formatCode>
                <c:ptCount val="2"/>
                <c:pt idx="0">
                  <c:v>-0.101080227082011</c:v>
                </c:pt>
                <c:pt idx="1">
                  <c:v>-0.66560423490986</c:v>
                </c:pt>
              </c:numCache>
            </c:numRef>
          </c:yVal>
          <c:smooth val="1"/>
        </c:ser>
        <c:ser>
          <c:idx val="14"/>
          <c:order val="21"/>
          <c:spPr>
            <a:ln>
              <a:solidFill>
                <a:srgbClr val="4F81BD"/>
              </a:solidFill>
            </a:ln>
          </c:spPr>
          <c:marker>
            <c:symbol val="none"/>
          </c:marker>
          <c:xVal>
            <c:numRef>
              <c:f>'Planform Geometry'!$J$38:$J$39</c:f>
              <c:numCache>
                <c:formatCode>General</c:formatCode>
                <c:ptCount val="2"/>
                <c:pt idx="0">
                  <c:v>-0.24279621084358</c:v>
                </c:pt>
                <c:pt idx="1">
                  <c:v>-0.24279621084358</c:v>
                </c:pt>
              </c:numCache>
            </c:numRef>
          </c:xVal>
          <c:yVal>
            <c:numRef>
              <c:f>'Planform Geometry'!$J$53:$J$54</c:f>
              <c:numCache>
                <c:formatCode>General</c:formatCode>
                <c:ptCount val="2"/>
                <c:pt idx="0">
                  <c:v>-0.151620340623017</c:v>
                </c:pt>
                <c:pt idx="1">
                  <c:v>-0.653584022191133</c:v>
                </c:pt>
              </c:numCache>
            </c:numRef>
          </c:yVal>
          <c:smooth val="1"/>
        </c:ser>
        <c:ser>
          <c:idx val="15"/>
          <c:order val="22"/>
          <c:spPr>
            <a:ln>
              <a:solidFill>
                <a:srgbClr val="4F81BD"/>
              </a:solidFill>
            </a:ln>
          </c:spPr>
          <c:marker>
            <c:symbol val="none"/>
          </c:marker>
          <c:xVal>
            <c:numRef>
              <c:f>'Planform Geometry'!$K$38:$K$39</c:f>
              <c:numCache>
                <c:formatCode>General</c:formatCode>
                <c:ptCount val="2"/>
                <c:pt idx="0">
                  <c:v>-0.323728281124773</c:v>
                </c:pt>
                <c:pt idx="1">
                  <c:v>-0.323728281124773</c:v>
                </c:pt>
              </c:numCache>
            </c:numRef>
          </c:xVal>
          <c:yVal>
            <c:numRef>
              <c:f>'Planform Geometry'!$K$53:$K$54</c:f>
              <c:numCache>
                <c:formatCode>General</c:formatCode>
                <c:ptCount val="2"/>
                <c:pt idx="0">
                  <c:v>-0.202160454164023</c:v>
                </c:pt>
                <c:pt idx="1">
                  <c:v>-0.669328309912118</c:v>
                </c:pt>
              </c:numCache>
            </c:numRef>
          </c:yVal>
          <c:smooth val="1"/>
        </c:ser>
        <c:ser>
          <c:idx val="27"/>
          <c:order val="23"/>
          <c:spPr>
            <a:ln>
              <a:solidFill>
                <a:srgbClr val="4F81BD"/>
              </a:solidFill>
            </a:ln>
          </c:spPr>
          <c:marker>
            <c:symbol val="none"/>
          </c:marker>
          <c:xVal>
            <c:numRef>
              <c:f>'Planform Geometry'!$L$38:$L$39</c:f>
              <c:numCache>
                <c:formatCode>General</c:formatCode>
                <c:ptCount val="2"/>
                <c:pt idx="0">
                  <c:v>-0.404660351405966</c:v>
                </c:pt>
                <c:pt idx="1">
                  <c:v>-0.404660351405966</c:v>
                </c:pt>
              </c:numCache>
            </c:numRef>
          </c:xVal>
          <c:yVal>
            <c:numRef>
              <c:f>'Planform Geometry'!$L$53:$L$54</c:f>
              <c:numCache>
                <c:formatCode>General</c:formatCode>
                <c:ptCount val="2"/>
                <c:pt idx="0">
                  <c:v>-0.252700567705028</c:v>
                </c:pt>
                <c:pt idx="1">
                  <c:v>-0.685072597633103</c:v>
                </c:pt>
              </c:numCache>
            </c:numRef>
          </c:yVal>
          <c:smooth val="1"/>
        </c:ser>
        <c:ser>
          <c:idx val="28"/>
          <c:order val="24"/>
          <c:spPr>
            <a:ln>
              <a:solidFill>
                <a:srgbClr val="4F81BD"/>
              </a:solidFill>
            </a:ln>
          </c:spPr>
          <c:marker>
            <c:symbol val="none"/>
          </c:marker>
          <c:xVal>
            <c:numRef>
              <c:f>'Planform Geometry'!$M$38:$M$39</c:f>
              <c:numCache>
                <c:formatCode>General</c:formatCode>
                <c:ptCount val="2"/>
                <c:pt idx="0">
                  <c:v>-0.485592421687159</c:v>
                </c:pt>
                <c:pt idx="1">
                  <c:v>-0.485592421687159</c:v>
                </c:pt>
              </c:numCache>
            </c:numRef>
          </c:xVal>
          <c:yVal>
            <c:numRef>
              <c:f>'Planform Geometry'!$M$53:$M$54</c:f>
              <c:numCache>
                <c:formatCode>General</c:formatCode>
                <c:ptCount val="2"/>
                <c:pt idx="0">
                  <c:v>-0.303240681246034</c:v>
                </c:pt>
                <c:pt idx="1">
                  <c:v>-0.700816885354088</c:v>
                </c:pt>
              </c:numCache>
            </c:numRef>
          </c:yVal>
          <c:smooth val="1"/>
        </c:ser>
        <c:ser>
          <c:idx val="29"/>
          <c:order val="25"/>
          <c:spPr>
            <a:ln>
              <a:solidFill>
                <a:srgbClr val="4F81BD"/>
              </a:solidFill>
            </a:ln>
          </c:spPr>
          <c:marker>
            <c:symbol val="none"/>
          </c:marker>
          <c:xVal>
            <c:numRef>
              <c:f>'Planform Geometry'!$N$38:$N$39</c:f>
              <c:numCache>
                <c:formatCode>General</c:formatCode>
                <c:ptCount val="2"/>
                <c:pt idx="0">
                  <c:v>-0.566524491968353</c:v>
                </c:pt>
                <c:pt idx="1">
                  <c:v>-0.566524491968353</c:v>
                </c:pt>
              </c:numCache>
            </c:numRef>
          </c:xVal>
          <c:yVal>
            <c:numRef>
              <c:f>'Planform Geometry'!$N$53:$N$54</c:f>
              <c:numCache>
                <c:formatCode>General</c:formatCode>
                <c:ptCount val="2"/>
                <c:pt idx="0">
                  <c:v>-0.35378079478704</c:v>
                </c:pt>
                <c:pt idx="1">
                  <c:v>-0.716561173075073</c:v>
                </c:pt>
              </c:numCache>
            </c:numRef>
          </c:yVal>
          <c:smooth val="1"/>
        </c:ser>
        <c:ser>
          <c:idx val="30"/>
          <c:order val="26"/>
          <c:spPr>
            <a:ln>
              <a:solidFill>
                <a:srgbClr val="4F81BD"/>
              </a:solidFill>
            </a:ln>
          </c:spPr>
          <c:marker>
            <c:symbol val="none"/>
          </c:marker>
          <c:xVal>
            <c:numRef>
              <c:f>'Planform Geometry'!$O$38:$O$39</c:f>
              <c:numCache>
                <c:formatCode>General</c:formatCode>
                <c:ptCount val="2"/>
                <c:pt idx="0">
                  <c:v>-0.647456562249546</c:v>
                </c:pt>
                <c:pt idx="1">
                  <c:v>-0.647456562249546</c:v>
                </c:pt>
              </c:numCache>
            </c:numRef>
          </c:xVal>
          <c:yVal>
            <c:numRef>
              <c:f>'Planform Geometry'!$O$53:$O$54</c:f>
              <c:numCache>
                <c:formatCode>General</c:formatCode>
                <c:ptCount val="2"/>
                <c:pt idx="0">
                  <c:v>-0.404320908328045</c:v>
                </c:pt>
                <c:pt idx="1">
                  <c:v>-0.732305460796058</c:v>
                </c:pt>
              </c:numCache>
            </c:numRef>
          </c:yVal>
          <c:smooth val="1"/>
        </c:ser>
        <c:ser>
          <c:idx val="31"/>
          <c:order val="27"/>
          <c:spPr>
            <a:ln>
              <a:solidFill>
                <a:srgbClr val="4F81BD"/>
              </a:solidFill>
            </a:ln>
          </c:spPr>
          <c:marker>
            <c:symbol val="none"/>
          </c:marker>
          <c:xVal>
            <c:numRef>
              <c:f>'Planform Geometry'!$P$38:$P$39</c:f>
              <c:numCache>
                <c:formatCode>General</c:formatCode>
                <c:ptCount val="2"/>
                <c:pt idx="0">
                  <c:v>-0.728388632530739</c:v>
                </c:pt>
                <c:pt idx="1">
                  <c:v>-0.728388632530739</c:v>
                </c:pt>
              </c:numCache>
            </c:numRef>
          </c:xVal>
          <c:yVal>
            <c:numRef>
              <c:f>'Planform Geometry'!$P$53:$P$54</c:f>
              <c:numCache>
                <c:formatCode>General</c:formatCode>
                <c:ptCount val="2"/>
                <c:pt idx="0">
                  <c:v>-0.454861021869051</c:v>
                </c:pt>
                <c:pt idx="1">
                  <c:v>-0.748049748517043</c:v>
                </c:pt>
              </c:numCache>
            </c:numRef>
          </c:yVal>
          <c:smooth val="1"/>
        </c:ser>
        <c:ser>
          <c:idx val="32"/>
          <c:order val="28"/>
          <c:spPr>
            <a:ln>
              <a:solidFill>
                <a:srgbClr val="4F81BD"/>
              </a:solidFill>
            </a:ln>
          </c:spPr>
          <c:marker>
            <c:symbol val="none"/>
          </c:marker>
          <c:xVal>
            <c:numRef>
              <c:f>'Planform Geometry'!$Q$38:$Q$39</c:f>
              <c:numCache>
                <c:formatCode>General</c:formatCode>
                <c:ptCount val="2"/>
                <c:pt idx="0">
                  <c:v>-0.809320702811932</c:v>
                </c:pt>
                <c:pt idx="1">
                  <c:v>-0.809320702811932</c:v>
                </c:pt>
              </c:numCache>
            </c:numRef>
          </c:xVal>
          <c:yVal>
            <c:numRef>
              <c:f>'Planform Geometry'!$Q$53:$Q$54</c:f>
              <c:numCache>
                <c:formatCode>General</c:formatCode>
                <c:ptCount val="2"/>
                <c:pt idx="0">
                  <c:v>-0.505401135410057</c:v>
                </c:pt>
                <c:pt idx="1">
                  <c:v>-0.763794036238028</c:v>
                </c:pt>
              </c:numCache>
            </c:numRef>
          </c:yVal>
          <c:smooth val="1"/>
        </c:ser>
        <c:ser>
          <c:idx val="33"/>
          <c:order val="29"/>
          <c:spPr>
            <a:ln>
              <a:solidFill>
                <a:srgbClr val="4F81BD"/>
              </a:solidFill>
            </a:ln>
          </c:spPr>
          <c:marker>
            <c:symbol val="none"/>
          </c:marker>
          <c:xVal>
            <c:numRef>
              <c:f>'Planform Geometry'!$R$38:$R$39</c:f>
              <c:numCache>
                <c:formatCode>General</c:formatCode>
                <c:ptCount val="2"/>
                <c:pt idx="0">
                  <c:v>-0.890252773093125</c:v>
                </c:pt>
                <c:pt idx="1">
                  <c:v>-0.890252773093125</c:v>
                </c:pt>
              </c:numCache>
            </c:numRef>
          </c:xVal>
          <c:yVal>
            <c:numRef>
              <c:f>'Planform Geometry'!$R$53:$R$54</c:f>
              <c:numCache>
                <c:formatCode>General</c:formatCode>
                <c:ptCount val="2"/>
                <c:pt idx="0">
                  <c:v>-0.555941248951062</c:v>
                </c:pt>
                <c:pt idx="1">
                  <c:v>-0.779538323959013</c:v>
                </c:pt>
              </c:numCache>
            </c:numRef>
          </c:yVal>
          <c:smooth val="1"/>
        </c:ser>
        <c:ser>
          <c:idx val="34"/>
          <c:order val="30"/>
          <c:spPr>
            <a:ln>
              <a:solidFill>
                <a:srgbClr val="FF0000"/>
              </a:solidFill>
              <a:prstDash val="dash"/>
            </a:ln>
          </c:spPr>
          <c:marker>
            <c:symbol val="none"/>
          </c:marker>
          <c:xVal>
            <c:numRef>
              <c:f>'Planform Geometry'!$G$31:$H$31</c:f>
              <c:numCache>
                <c:formatCode>General</c:formatCode>
                <c:ptCount val="2"/>
                <c:pt idx="0">
                  <c:v>0.417012061447431</c:v>
                </c:pt>
                <c:pt idx="1">
                  <c:v>0.0</c:v>
                </c:pt>
              </c:numCache>
            </c:numRef>
          </c:xVal>
          <c:yVal>
            <c:numRef>
              <c:f>'Planform Geometry'!$G$32:$H$32</c:f>
              <c:numCache>
                <c:formatCode>General</c:formatCode>
                <c:ptCount val="2"/>
                <c:pt idx="0">
                  <c:v>-0.379132199133903</c:v>
                </c:pt>
                <c:pt idx="1">
                  <c:v>-0.379132199133903</c:v>
                </c:pt>
              </c:numCache>
            </c:numRef>
          </c:yVal>
          <c:smooth val="1"/>
        </c:ser>
        <c:ser>
          <c:idx val="12"/>
          <c:order val="31"/>
          <c:spPr>
            <a:ln>
              <a:solidFill>
                <a:sysClr val="windowText" lastClr="000000"/>
              </a:solidFill>
            </a:ln>
          </c:spPr>
          <c:marker>
            <c:symbol val="none"/>
          </c:marker>
          <c:xVal>
            <c:numRef>
              <c:f>'Planform Geometry'!$S$28:$V$28</c:f>
              <c:numCache>
                <c:formatCode>General</c:formatCode>
                <c:ptCount val="4"/>
                <c:pt idx="0">
                  <c:v>0.0</c:v>
                </c:pt>
                <c:pt idx="1">
                  <c:v>0.0809320702811932</c:v>
                </c:pt>
                <c:pt idx="2">
                  <c:v>0.161864140562386</c:v>
                </c:pt>
                <c:pt idx="3">
                  <c:v>0.24279621084358</c:v>
                </c:pt>
              </c:numCache>
            </c:numRef>
          </c:xVal>
          <c:yVal>
            <c:numRef>
              <c:f>'Planform Geometry'!$S$29:$V$29</c:f>
              <c:numCache>
                <c:formatCode>General</c:formatCode>
                <c:ptCount val="4"/>
                <c:pt idx="0">
                  <c:v>-0.788256506736632</c:v>
                </c:pt>
                <c:pt idx="1">
                  <c:v>-0.706810370174307</c:v>
                </c:pt>
                <c:pt idx="2">
                  <c:v>-0.66560423490986</c:v>
                </c:pt>
                <c:pt idx="3">
                  <c:v>-0.653584022191133</c:v>
                </c:pt>
              </c:numCache>
            </c:numRef>
          </c:yVal>
          <c:smooth val="1"/>
        </c:ser>
        <c:ser>
          <c:idx val="35"/>
          <c:order val="32"/>
          <c:spPr>
            <a:ln>
              <a:solidFill>
                <a:sysClr val="windowText" lastClr="000000"/>
              </a:solidFill>
            </a:ln>
          </c:spPr>
          <c:marker>
            <c:symbol val="none"/>
          </c:marker>
          <c:xVal>
            <c:numRef>
              <c:f>'Planform Geometry'!$S$27:$V$27</c:f>
              <c:numCache>
                <c:formatCode>General</c:formatCode>
                <c:ptCount val="4"/>
                <c:pt idx="0">
                  <c:v>0.0</c:v>
                </c:pt>
                <c:pt idx="1">
                  <c:v>-0.0809320702811932</c:v>
                </c:pt>
                <c:pt idx="2">
                  <c:v>-0.161864140562386</c:v>
                </c:pt>
                <c:pt idx="3">
                  <c:v>-0.24279621084358</c:v>
                </c:pt>
              </c:numCache>
            </c:numRef>
          </c:xVal>
          <c:yVal>
            <c:numRef>
              <c:f>'Planform Geometry'!$S$29:$V$29</c:f>
              <c:numCache>
                <c:formatCode>General</c:formatCode>
                <c:ptCount val="4"/>
                <c:pt idx="0">
                  <c:v>-0.788256506736632</c:v>
                </c:pt>
                <c:pt idx="1">
                  <c:v>-0.706810370174307</c:v>
                </c:pt>
                <c:pt idx="2">
                  <c:v>-0.66560423490986</c:v>
                </c:pt>
                <c:pt idx="3">
                  <c:v>-0.653584022191133</c:v>
                </c:pt>
              </c:numCache>
            </c:numRef>
          </c:yVal>
          <c:smooth val="1"/>
        </c:ser>
        <c:ser>
          <c:idx val="39"/>
          <c:order val="33"/>
          <c:spPr>
            <a:ln>
              <a:solidFill>
                <a:schemeClr val="tx1"/>
              </a:solidFill>
              <a:prstDash val="dash"/>
            </a:ln>
          </c:spPr>
          <c:marker>
            <c:symbol val="none"/>
          </c:marker>
          <c:xVal>
            <c:numRef>
              <c:f>'Planform Geometry'!$S$32:$T$32</c:f>
              <c:numCache>
                <c:formatCode>General</c:formatCode>
                <c:ptCount val="2"/>
                <c:pt idx="0">
                  <c:v>0.0</c:v>
                </c:pt>
                <c:pt idx="1">
                  <c:v>0.24279621084358</c:v>
                </c:pt>
              </c:numCache>
            </c:numRef>
          </c:xVal>
          <c:yVal>
            <c:numRef>
              <c:f>'Planform Geometry'!$S$33:$T$33</c:f>
              <c:numCache>
                <c:formatCode>General</c:formatCode>
                <c:ptCount val="2"/>
                <c:pt idx="0">
                  <c:v>-0.606351159028179</c:v>
                </c:pt>
                <c:pt idx="1">
                  <c:v>-0.653584022191133</c:v>
                </c:pt>
              </c:numCache>
            </c:numRef>
          </c:yVal>
          <c:smooth val="1"/>
        </c:ser>
        <c:ser>
          <c:idx val="40"/>
          <c:order val="34"/>
          <c:spPr>
            <a:ln>
              <a:solidFill>
                <a:sysClr val="windowText" lastClr="000000"/>
              </a:solidFill>
              <a:prstDash val="dash"/>
            </a:ln>
          </c:spPr>
          <c:marker>
            <c:symbol val="none"/>
          </c:marker>
          <c:xVal>
            <c:numRef>
              <c:f>'Planform Geometry'!$S$31:$T$31</c:f>
              <c:numCache>
                <c:formatCode>General</c:formatCode>
                <c:ptCount val="2"/>
                <c:pt idx="0">
                  <c:v>0.0</c:v>
                </c:pt>
                <c:pt idx="1">
                  <c:v>-0.24279621084358</c:v>
                </c:pt>
              </c:numCache>
            </c:numRef>
          </c:xVal>
          <c:yVal>
            <c:numRef>
              <c:f>'Planform Geometry'!$S$33:$T$33</c:f>
              <c:numCache>
                <c:formatCode>General</c:formatCode>
                <c:ptCount val="2"/>
                <c:pt idx="0">
                  <c:v>-0.606351159028179</c:v>
                </c:pt>
                <c:pt idx="1">
                  <c:v>-0.653584022191133</c:v>
                </c:pt>
              </c:numCache>
            </c:numRef>
          </c:yVal>
          <c:smooth val="1"/>
        </c:ser>
        <c:ser>
          <c:idx val="41"/>
          <c:order val="35"/>
          <c:spPr>
            <a:ln>
              <a:solidFill>
                <a:sysClr val="windowText" lastClr="000000"/>
              </a:solidFill>
            </a:ln>
          </c:spPr>
          <c:marker>
            <c:symbol val="none"/>
          </c:marker>
          <c:xVal>
            <c:numRef>
              <c:f>'Planform Geometry'!$S$34:$T$34</c:f>
              <c:numCache>
                <c:formatCode>General</c:formatCode>
                <c:ptCount val="2"/>
                <c:pt idx="0">
                  <c:v>0.0</c:v>
                </c:pt>
                <c:pt idx="1">
                  <c:v>0.0</c:v>
                </c:pt>
              </c:numCache>
            </c:numRef>
          </c:xVal>
          <c:yVal>
            <c:numRef>
              <c:f>'Planform Geometry'!$S$35:$T$35</c:f>
              <c:numCache>
                <c:formatCode>General</c:formatCode>
                <c:ptCount val="2"/>
                <c:pt idx="0">
                  <c:v>-0.606351159028179</c:v>
                </c:pt>
                <c:pt idx="1">
                  <c:v>-0.788256506736632</c:v>
                </c:pt>
              </c:numCache>
            </c:numRef>
          </c:yVal>
          <c:smooth val="1"/>
        </c:ser>
        <c:ser>
          <c:idx val="13"/>
          <c:order val="36"/>
          <c:spPr>
            <a:ln>
              <a:solidFill>
                <a:schemeClr val="tx1"/>
              </a:solidFill>
              <a:prstDash val="dash"/>
            </a:ln>
          </c:spPr>
          <c:marker>
            <c:symbol val="none"/>
          </c:marker>
          <c:xVal>
            <c:numRef>
              <c:f>'Planform Geometry'!$W$32:$Z$32</c:f>
              <c:numCache>
                <c:formatCode>General</c:formatCode>
                <c:ptCount val="4"/>
                <c:pt idx="0">
                  <c:v>0.0</c:v>
                </c:pt>
                <c:pt idx="1">
                  <c:v>0.0809320702811932</c:v>
                </c:pt>
                <c:pt idx="2">
                  <c:v>0.161864140562386</c:v>
                </c:pt>
                <c:pt idx="3">
                  <c:v>0.24279621084358</c:v>
                </c:pt>
              </c:numCache>
            </c:numRef>
          </c:xVal>
          <c:yVal>
            <c:numRef>
              <c:f>'Planform Geometry'!$W$33:$Z$33</c:f>
              <c:numCache>
                <c:formatCode>General</c:formatCode>
                <c:ptCount val="4"/>
                <c:pt idx="0">
                  <c:v>-0.197064126684158</c:v>
                </c:pt>
                <c:pt idx="1">
                  <c:v>-0.218070427336939</c:v>
                </c:pt>
                <c:pt idx="2">
                  <c:v>-0.24913672831419</c:v>
                </c:pt>
                <c:pt idx="3">
                  <c:v>-0.287499509927871</c:v>
                </c:pt>
              </c:numCache>
            </c:numRef>
          </c:yVal>
          <c:smooth val="1"/>
        </c:ser>
        <c:ser>
          <c:idx val="10"/>
          <c:order val="37"/>
          <c:spPr>
            <a:ln>
              <a:solidFill>
                <a:schemeClr val="tx1"/>
              </a:solidFill>
            </a:ln>
          </c:spPr>
          <c:marker>
            <c:symbol val="none"/>
          </c:marker>
          <c:xVal>
            <c:numRef>
              <c:f>'Planform Geometry'!$X$10:$AB$10</c:f>
              <c:numCache>
                <c:formatCode>General</c:formatCode>
                <c:ptCount val="5"/>
                <c:pt idx="0">
                  <c:v>0.971184843374319</c:v>
                </c:pt>
                <c:pt idx="1">
                  <c:v>1.086585107176128</c:v>
                </c:pt>
                <c:pt idx="2">
                  <c:v>1.099924832674748</c:v>
                </c:pt>
                <c:pt idx="3">
                  <c:v>1.091920997375576</c:v>
                </c:pt>
                <c:pt idx="4">
                  <c:v>0.971184843374319</c:v>
                </c:pt>
              </c:numCache>
            </c:numRef>
          </c:xVal>
          <c:yVal>
            <c:numRef>
              <c:f>'Planform Geometry'!$X$11:$AB$11</c:f>
              <c:numCache>
                <c:formatCode>General</c:formatCode>
                <c:ptCount val="5"/>
                <c:pt idx="0">
                  <c:v>-0.606481362492068</c:v>
                </c:pt>
                <c:pt idx="1">
                  <c:v>-0.693900697890486</c:v>
                </c:pt>
                <c:pt idx="2">
                  <c:v>-0.741923709685518</c:v>
                </c:pt>
                <c:pt idx="3">
                  <c:v>-0.781942886181378</c:v>
                </c:pt>
                <c:pt idx="4">
                  <c:v>-0.795282611679998</c:v>
                </c:pt>
              </c:numCache>
            </c:numRef>
          </c:yVal>
          <c:smooth val="1"/>
        </c:ser>
        <c:ser>
          <c:idx val="11"/>
          <c:order val="38"/>
          <c:spPr>
            <a:ln>
              <a:solidFill>
                <a:sysClr val="windowText" lastClr="000000"/>
              </a:solidFill>
            </a:ln>
          </c:spPr>
          <c:marker>
            <c:symbol val="none"/>
          </c:marker>
          <c:xVal>
            <c:numRef>
              <c:f>'Planform Geometry'!$X$12:$AB$12</c:f>
              <c:numCache>
                <c:formatCode>General</c:formatCode>
                <c:ptCount val="5"/>
                <c:pt idx="0">
                  <c:v>-0.971184843374319</c:v>
                </c:pt>
                <c:pt idx="1">
                  <c:v>-1.086585107176128</c:v>
                </c:pt>
                <c:pt idx="2">
                  <c:v>-1.099924832674748</c:v>
                </c:pt>
                <c:pt idx="3">
                  <c:v>-1.091920997375576</c:v>
                </c:pt>
                <c:pt idx="4">
                  <c:v>-0.971184843374319</c:v>
                </c:pt>
              </c:numCache>
            </c:numRef>
          </c:xVal>
          <c:yVal>
            <c:numRef>
              <c:f>'Planform Geometry'!$X$11:$AB$11</c:f>
              <c:numCache>
                <c:formatCode>General</c:formatCode>
                <c:ptCount val="5"/>
                <c:pt idx="0">
                  <c:v>-0.606481362492068</c:v>
                </c:pt>
                <c:pt idx="1">
                  <c:v>-0.693900697890486</c:v>
                </c:pt>
                <c:pt idx="2">
                  <c:v>-0.741923709685518</c:v>
                </c:pt>
                <c:pt idx="3">
                  <c:v>-0.781942886181378</c:v>
                </c:pt>
                <c:pt idx="4">
                  <c:v>-0.795282611679998</c:v>
                </c:pt>
              </c:numCache>
            </c:numRef>
          </c:yVal>
          <c:smooth val="1"/>
        </c:ser>
        <c:dLbls>
          <c:showLegendKey val="0"/>
          <c:showVal val="0"/>
          <c:showCatName val="0"/>
          <c:showSerName val="0"/>
          <c:showPercent val="0"/>
          <c:showBubbleSize val="0"/>
        </c:dLbls>
        <c:axId val="2110211224"/>
        <c:axId val="2110216584"/>
      </c:scatterChart>
      <c:valAx>
        <c:axId val="2110211224"/>
        <c:scaling>
          <c:orientation val="minMax"/>
          <c:max val="3.0"/>
          <c:min val="-3.0"/>
        </c:scaling>
        <c:delete val="0"/>
        <c:axPos val="b"/>
        <c:title>
          <c:tx>
            <c:rich>
              <a:bodyPr/>
              <a:lstStyle/>
              <a:p>
                <a:pPr>
                  <a:defRPr b="1"/>
                </a:pPr>
                <a:r>
                  <a:rPr lang="en-US" b="1"/>
                  <a:t>Spanwise</a:t>
                </a:r>
                <a:r>
                  <a:rPr lang="en-US" b="1" baseline="0"/>
                  <a:t> dimension</a:t>
                </a:r>
                <a:r>
                  <a:rPr lang="en-US" b="1"/>
                  <a:t> [m]</a:t>
                </a:r>
              </a:p>
            </c:rich>
          </c:tx>
          <c:layout>
            <c:manualLayout>
              <c:xMode val="edge"/>
              <c:yMode val="edge"/>
              <c:x val="0.23426317586373"/>
              <c:y val="0.0177113038080272"/>
            </c:manualLayout>
          </c:layout>
          <c:overlay val="0"/>
        </c:title>
        <c:numFmt formatCode="General" sourceLinked="1"/>
        <c:majorTickMark val="out"/>
        <c:minorTickMark val="none"/>
        <c:tickLblPos val="nextTo"/>
        <c:crossAx val="2110216584"/>
        <c:crosses val="autoZero"/>
        <c:crossBetween val="midCat"/>
      </c:valAx>
      <c:valAx>
        <c:axId val="2110216584"/>
        <c:scaling>
          <c:orientation val="minMax"/>
          <c:max val="0.0"/>
          <c:min val="-2.0"/>
        </c:scaling>
        <c:delete val="0"/>
        <c:axPos val="l"/>
        <c:majorGridlines/>
        <c:title>
          <c:tx>
            <c:rich>
              <a:bodyPr rot="-5400000" vert="horz"/>
              <a:lstStyle/>
              <a:p>
                <a:pPr>
                  <a:defRPr/>
                </a:pPr>
                <a:r>
                  <a:rPr lang="en-US"/>
                  <a:t>Length [m]</a:t>
                </a:r>
              </a:p>
            </c:rich>
          </c:tx>
          <c:layout>
            <c:manualLayout>
              <c:xMode val="edge"/>
              <c:yMode val="edge"/>
              <c:x val="0.510550039589478"/>
              <c:y val="0.875399825632135"/>
            </c:manualLayout>
          </c:layout>
          <c:overlay val="0"/>
        </c:title>
        <c:numFmt formatCode="General" sourceLinked="1"/>
        <c:majorTickMark val="out"/>
        <c:minorTickMark val="none"/>
        <c:tickLblPos val="nextTo"/>
        <c:crossAx val="2110211224"/>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'2'!$N$2:$N$31</c:f>
              <c:numCache>
                <c:formatCode>General</c:formatCode>
                <c:ptCount val="30"/>
                <c:pt idx="0">
                  <c:v>706.8287412003764</c:v>
                </c:pt>
                <c:pt idx="1">
                  <c:v>675.8823218318395</c:v>
                </c:pt>
                <c:pt idx="2">
                  <c:v>621.3585102116457</c:v>
                </c:pt>
                <c:pt idx="3">
                  <c:v>566.8160910286903</c:v>
                </c:pt>
                <c:pt idx="4">
                  <c:v>512.4174606465848</c:v>
                </c:pt>
                <c:pt idx="5">
                  <c:v>458.2540258658366</c:v>
                </c:pt>
                <c:pt idx="6">
                  <c:v>404.1882772259198</c:v>
                </c:pt>
                <c:pt idx="7">
                  <c:v>350.1096383807286</c:v>
                </c:pt>
                <c:pt idx="8">
                  <c:v>295.6705529203754</c:v>
                </c:pt>
                <c:pt idx="9">
                  <c:v>241.1428618171478</c:v>
                </c:pt>
                <c:pt idx="10">
                  <c:v>186.3442298185154</c:v>
                </c:pt>
                <c:pt idx="11">
                  <c:v>133.1848786109377</c:v>
                </c:pt>
                <c:pt idx="12">
                  <c:v>86.67569264395316</c:v>
                </c:pt>
                <c:pt idx="13">
                  <c:v>64.24129106320755</c:v>
                </c:pt>
                <c:pt idx="14">
                  <c:v>56.69400509588752</c:v>
                </c:pt>
                <c:pt idx="15">
                  <c:v>55.25417321452637</c:v>
                </c:pt>
                <c:pt idx="16">
                  <c:v>59.21306153576884</c:v>
                </c:pt>
                <c:pt idx="17">
                  <c:v>74.7400094183845</c:v>
                </c:pt>
                <c:pt idx="18">
                  <c:v>114.6575605927351</c:v>
                </c:pt>
                <c:pt idx="19">
                  <c:v>167.6431625595074</c:v>
                </c:pt>
                <c:pt idx="20">
                  <c:v>223.0133112394632</c:v>
                </c:pt>
                <c:pt idx="21">
                  <c:v>278.8901005849883</c:v>
                </c:pt>
                <c:pt idx="22">
                  <c:v>335.0753721619126</c:v>
                </c:pt>
                <c:pt idx="23">
                  <c:v>391.6438232062376</c:v>
                </c:pt>
                <c:pt idx="24">
                  <c:v>448.3397717199845</c:v>
                </c:pt>
                <c:pt idx="25">
                  <c:v>505.0726155397136</c:v>
                </c:pt>
                <c:pt idx="26">
                  <c:v>561.7994972638915</c:v>
                </c:pt>
                <c:pt idx="27">
                  <c:v>618.5715323016547</c:v>
                </c:pt>
                <c:pt idx="28">
                  <c:v>674.961657927882</c:v>
                </c:pt>
                <c:pt idx="29">
                  <c:v>706.813845773834</c:v>
                </c:pt>
              </c:numCache>
            </c:numRef>
          </c:xVal>
          <c:yVal>
            <c:numRef>
              <c:f>'2'!$O$2:$O$31</c:f>
              <c:numCache>
                <c:formatCode>General</c:formatCode>
                <c:ptCount val="30"/>
                <c:pt idx="0">
                  <c:v>-85.69788431280794</c:v>
                </c:pt>
                <c:pt idx="1">
                  <c:v>-78.00482926036535</c:v>
                </c:pt>
                <c:pt idx="2">
                  <c:v>-63.80330040699263</c:v>
                </c:pt>
                <c:pt idx="3">
                  <c:v>-48.54714640114199</c:v>
                </c:pt>
                <c:pt idx="4">
                  <c:v>-32.37695719789831</c:v>
                </c:pt>
                <c:pt idx="5">
                  <c:v>-15.24795939979561</c:v>
                </c:pt>
                <c:pt idx="6">
                  <c:v>1.91885763678091</c:v>
                </c:pt>
                <c:pt idx="7">
                  <c:v>17.22921879306568</c:v>
                </c:pt>
                <c:pt idx="8">
                  <c:v>29.88449346802864</c:v>
                </c:pt>
                <c:pt idx="9">
                  <c:v>38.18399845329226</c:v>
                </c:pt>
                <c:pt idx="10">
                  <c:v>41.93953484445503</c:v>
                </c:pt>
                <c:pt idx="11">
                  <c:v>38.2581799925117</c:v>
                </c:pt>
                <c:pt idx="12">
                  <c:v>26.75447101798182</c:v>
                </c:pt>
                <c:pt idx="13">
                  <c:v>13.66582271214354</c:v>
                </c:pt>
                <c:pt idx="14">
                  <c:v>5.290690728301145</c:v>
                </c:pt>
                <c:pt idx="15">
                  <c:v>-1.229274569122524</c:v>
                </c:pt>
                <c:pt idx="16">
                  <c:v>-9.208443850257397</c:v>
                </c:pt>
                <c:pt idx="17">
                  <c:v>-19.85327938364638</c:v>
                </c:pt>
                <c:pt idx="18">
                  <c:v>-35.83650754248792</c:v>
                </c:pt>
                <c:pt idx="19">
                  <c:v>-47.70989994810227</c:v>
                </c:pt>
                <c:pt idx="20">
                  <c:v>-56.48131492610043</c:v>
                </c:pt>
                <c:pt idx="21">
                  <c:v>-63.69915307287754</c:v>
                </c:pt>
                <c:pt idx="22">
                  <c:v>-69.4392428569963</c:v>
                </c:pt>
                <c:pt idx="23">
                  <c:v>-74.01610315676612</c:v>
                </c:pt>
                <c:pt idx="24">
                  <c:v>-77.67678226595505</c:v>
                </c:pt>
                <c:pt idx="25">
                  <c:v>-80.45557656314054</c:v>
                </c:pt>
                <c:pt idx="26">
                  <c:v>-82.63648090030067</c:v>
                </c:pt>
                <c:pt idx="27">
                  <c:v>-84.10201738568715</c:v>
                </c:pt>
                <c:pt idx="28">
                  <c:v>-85.16020908558006</c:v>
                </c:pt>
                <c:pt idx="29">
                  <c:v>-85.81289231355962</c:v>
                </c:pt>
              </c:numCache>
            </c:numRef>
          </c:yVal>
          <c:smooth val="1"/>
        </c:ser>
        <c:dLbls>
          <c:showLegendKey val="0"/>
          <c:showVal val="0"/>
          <c:showCatName val="0"/>
          <c:showSerName val="0"/>
          <c:showPercent val="0"/>
          <c:showBubbleSize val="0"/>
        </c:dLbls>
        <c:axId val="2110701736"/>
        <c:axId val="2110704760"/>
      </c:scatterChart>
      <c:valAx>
        <c:axId val="2110701736"/>
        <c:scaling>
          <c:orientation val="minMax"/>
        </c:scaling>
        <c:delete val="0"/>
        <c:axPos val="b"/>
        <c:numFmt formatCode="General" sourceLinked="1"/>
        <c:majorTickMark val="out"/>
        <c:minorTickMark val="none"/>
        <c:tickLblPos val="nextTo"/>
        <c:crossAx val="2110704760"/>
        <c:crosses val="autoZero"/>
        <c:crossBetween val="midCat"/>
      </c:valAx>
      <c:valAx>
        <c:axId val="2110704760"/>
        <c:scaling>
          <c:orientation val="minMax"/>
        </c:scaling>
        <c:delete val="0"/>
        <c:axPos val="l"/>
        <c:majorGridlines/>
        <c:numFmt formatCode="General" sourceLinked="1"/>
        <c:majorTickMark val="out"/>
        <c:minorTickMark val="none"/>
        <c:tickLblPos val="nextTo"/>
        <c:crossAx val="2110701736"/>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'3'!$N$2:$N$31</c:f>
              <c:numCache>
                <c:formatCode>General</c:formatCode>
                <c:ptCount val="30"/>
                <c:pt idx="0">
                  <c:v>665.6271711017798</c:v>
                </c:pt>
                <c:pt idx="1">
                  <c:v>639.6097346554814</c:v>
                </c:pt>
                <c:pt idx="2">
                  <c:v>593.1517872887604</c:v>
                </c:pt>
                <c:pt idx="3">
                  <c:v>546.585805808051</c:v>
                </c:pt>
                <c:pt idx="4">
                  <c:v>500.1283427878964</c:v>
                </c:pt>
                <c:pt idx="5">
                  <c:v>453.856165132153</c:v>
                </c:pt>
                <c:pt idx="6">
                  <c:v>407.6594999904258</c:v>
                </c:pt>
                <c:pt idx="7">
                  <c:v>361.4413907984056</c:v>
                </c:pt>
                <c:pt idx="8">
                  <c:v>314.9326781848483</c:v>
                </c:pt>
                <c:pt idx="9">
                  <c:v>268.3422695182713</c:v>
                </c:pt>
                <c:pt idx="10">
                  <c:v>221.5592328744397</c:v>
                </c:pt>
                <c:pt idx="11">
                  <c:v>176.1751945766347</c:v>
                </c:pt>
                <c:pt idx="12">
                  <c:v>136.9664159636255</c:v>
                </c:pt>
                <c:pt idx="13">
                  <c:v>118.1236825827598</c:v>
                </c:pt>
                <c:pt idx="14">
                  <c:v>111.6419982074864</c:v>
                </c:pt>
                <c:pt idx="15">
                  <c:v>110.4008170044628</c:v>
                </c:pt>
                <c:pt idx="16">
                  <c:v>113.8226578841007</c:v>
                </c:pt>
                <c:pt idx="17">
                  <c:v>126.95474653319</c:v>
                </c:pt>
                <c:pt idx="18">
                  <c:v>160.6416734927693</c:v>
                </c:pt>
                <c:pt idx="19">
                  <c:v>205.6441697151298</c:v>
                </c:pt>
                <c:pt idx="20">
                  <c:v>252.78142211057</c:v>
                </c:pt>
                <c:pt idx="21">
                  <c:v>300.4278136447945</c:v>
                </c:pt>
                <c:pt idx="22">
                  <c:v>348.3833304644825</c:v>
                </c:pt>
                <c:pt idx="23">
                  <c:v>396.6821436884958</c:v>
                </c:pt>
                <c:pt idx="24">
                  <c:v>445.1107559476116</c:v>
                </c:pt>
                <c:pt idx="25">
                  <c:v>493.5900331511336</c:v>
                </c:pt>
                <c:pt idx="26">
                  <c:v>542.0778153775</c:v>
                </c:pt>
                <c:pt idx="27">
                  <c:v>590.6081019472358</c:v>
                </c:pt>
                <c:pt idx="28">
                  <c:v>638.7530097676616</c:v>
                </c:pt>
                <c:pt idx="29">
                  <c:v>665.5996476714758</c:v>
                </c:pt>
              </c:numCache>
            </c:numRef>
          </c:xVal>
          <c:yVal>
            <c:numRef>
              <c:f>'3'!$O$2:$O$31</c:f>
              <c:numCache>
                <c:formatCode>General</c:formatCode>
                <c:ptCount val="30"/>
                <c:pt idx="0">
                  <c:v>-79.25944050573888</c:v>
                </c:pt>
                <c:pt idx="1">
                  <c:v>-72.47659978767542</c:v>
                </c:pt>
                <c:pt idx="2">
                  <c:v>-59.89737068956065</c:v>
                </c:pt>
                <c:pt idx="3">
                  <c:v>-46.51989575133482</c:v>
                </c:pt>
                <c:pt idx="4">
                  <c:v>-32.47621560137482</c:v>
                </c:pt>
                <c:pt idx="5">
                  <c:v>-17.73726471648506</c:v>
                </c:pt>
                <c:pt idx="6">
                  <c:v>-3.025323254829038</c:v>
                </c:pt>
                <c:pt idx="7">
                  <c:v>10.17367797433284</c:v>
                </c:pt>
                <c:pt idx="8">
                  <c:v>21.21937058705056</c:v>
                </c:pt>
                <c:pt idx="9">
                  <c:v>28.75369959438257</c:v>
                </c:pt>
                <c:pt idx="10">
                  <c:v>32.57800222180947</c:v>
                </c:pt>
                <c:pt idx="11">
                  <c:v>30.32886967122473</c:v>
                </c:pt>
                <c:pt idx="12">
                  <c:v>21.56438059268459</c:v>
                </c:pt>
                <c:pt idx="13">
                  <c:v>11.21225485992983</c:v>
                </c:pt>
                <c:pt idx="14">
                  <c:v>4.339041866672018</c:v>
                </c:pt>
                <c:pt idx="15">
                  <c:v>-1.213749408502565</c:v>
                </c:pt>
                <c:pt idx="16">
                  <c:v>-8.016058130445141</c:v>
                </c:pt>
                <c:pt idx="17">
                  <c:v>-17.14924378995338</c:v>
                </c:pt>
                <c:pt idx="18">
                  <c:v>-30.96722243038856</c:v>
                </c:pt>
                <c:pt idx="19">
                  <c:v>-41.63920623815345</c:v>
                </c:pt>
                <c:pt idx="20">
                  <c:v>-49.70369201182069</c:v>
                </c:pt>
                <c:pt idx="21">
                  <c:v>-56.4060369006898</c:v>
                </c:pt>
                <c:pt idx="22">
                  <c:v>-61.84635057126879</c:v>
                </c:pt>
                <c:pt idx="23">
                  <c:v>-66.29935075437582</c:v>
                </c:pt>
                <c:pt idx="24">
                  <c:v>-69.97477383135079</c:v>
                </c:pt>
                <c:pt idx="25">
                  <c:v>-72.91183484844704</c:v>
                </c:pt>
                <c:pt idx="26">
                  <c:v>-75.33714883697249</c:v>
                </c:pt>
                <c:pt idx="27">
                  <c:v>-77.163092728526</c:v>
                </c:pt>
                <c:pt idx="28">
                  <c:v>-78.62022640115348</c:v>
                </c:pt>
                <c:pt idx="29">
                  <c:v>-79.45573122371701</c:v>
                </c:pt>
              </c:numCache>
            </c:numRef>
          </c:yVal>
          <c:smooth val="1"/>
        </c:ser>
        <c:dLbls>
          <c:showLegendKey val="0"/>
          <c:showVal val="0"/>
          <c:showCatName val="0"/>
          <c:showSerName val="0"/>
          <c:showPercent val="0"/>
          <c:showBubbleSize val="0"/>
        </c:dLbls>
        <c:axId val="2110741864"/>
        <c:axId val="2110744888"/>
      </c:scatterChart>
      <c:valAx>
        <c:axId val="2110741864"/>
        <c:scaling>
          <c:orientation val="minMax"/>
        </c:scaling>
        <c:delete val="0"/>
        <c:axPos val="b"/>
        <c:numFmt formatCode="General" sourceLinked="1"/>
        <c:majorTickMark val="out"/>
        <c:minorTickMark val="none"/>
        <c:tickLblPos val="nextTo"/>
        <c:crossAx val="2110744888"/>
        <c:crosses val="autoZero"/>
        <c:crossBetween val="midCat"/>
      </c:valAx>
      <c:valAx>
        <c:axId val="2110744888"/>
        <c:scaling>
          <c:orientation val="minMax"/>
        </c:scaling>
        <c:delete val="0"/>
        <c:axPos val="l"/>
        <c:majorGridlines/>
        <c:numFmt formatCode="General" sourceLinked="1"/>
        <c:majorTickMark val="out"/>
        <c:minorTickMark val="none"/>
        <c:tickLblPos val="nextTo"/>
        <c:crossAx val="2110741864"/>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'4'!$N$2:$N$31</c:f>
              <c:numCache>
                <c:formatCode>General</c:formatCode>
                <c:ptCount val="30"/>
                <c:pt idx="0">
                  <c:v>653.6103273012893</c:v>
                </c:pt>
                <c:pt idx="1">
                  <c:v>631.0344374761843</c:v>
                </c:pt>
                <c:pt idx="2">
                  <c:v>590.1683561164684</c:v>
                </c:pt>
                <c:pt idx="3">
                  <c:v>549.120683668545</c:v>
                </c:pt>
                <c:pt idx="4">
                  <c:v>508.151016710265</c:v>
                </c:pt>
                <c:pt idx="5">
                  <c:v>467.3255264279204</c:v>
                </c:pt>
                <c:pt idx="6">
                  <c:v>426.558887765836</c:v>
                </c:pt>
                <c:pt idx="7">
                  <c:v>385.772948390936</c:v>
                </c:pt>
                <c:pt idx="8">
                  <c:v>344.7589062727707</c:v>
                </c:pt>
                <c:pt idx="9">
                  <c:v>303.688503839199</c:v>
                </c:pt>
                <c:pt idx="10">
                  <c:v>262.5039371779815</c:v>
                </c:pt>
                <c:pt idx="11">
                  <c:v>222.5851243955127</c:v>
                </c:pt>
                <c:pt idx="12">
                  <c:v>188.5744677792752</c:v>
                </c:pt>
                <c:pt idx="13">
                  <c:v>172.3281422745049</c:v>
                </c:pt>
                <c:pt idx="14">
                  <c:v>166.6289911044777</c:v>
                </c:pt>
                <c:pt idx="15">
                  <c:v>165.5548008647526</c:v>
                </c:pt>
                <c:pt idx="16">
                  <c:v>168.6383323126123</c:v>
                </c:pt>
                <c:pt idx="17">
                  <c:v>180.1332997976835</c:v>
                </c:pt>
                <c:pt idx="18">
                  <c:v>209.5050531596416</c:v>
                </c:pt>
                <c:pt idx="19">
                  <c:v>248.9542585659366</c:v>
                </c:pt>
                <c:pt idx="20">
                  <c:v>290.3553528541353</c:v>
                </c:pt>
                <c:pt idx="21">
                  <c:v>332.2653891365447</c:v>
                </c:pt>
                <c:pt idx="22">
                  <c:v>374.4812508257575</c:v>
                </c:pt>
                <c:pt idx="23">
                  <c:v>417.0083126842422</c:v>
                </c:pt>
                <c:pt idx="24">
                  <c:v>459.6639765155207</c:v>
                </c:pt>
                <c:pt idx="25">
                  <c:v>502.3770929787145</c:v>
                </c:pt>
                <c:pt idx="26">
                  <c:v>545.1070391332465</c:v>
                </c:pt>
                <c:pt idx="27">
                  <c:v>587.8746395625023</c:v>
                </c:pt>
                <c:pt idx="28">
                  <c:v>630.249302909288</c:v>
                </c:pt>
                <c:pt idx="29">
                  <c:v>653.5727485724953</c:v>
                </c:pt>
              </c:numCache>
            </c:numRef>
          </c:xVal>
          <c:yVal>
            <c:numRef>
              <c:f>'4'!$O$2:$O$31</c:f>
              <c:numCache>
                <c:formatCode>General</c:formatCode>
                <c:ptCount val="30"/>
                <c:pt idx="0">
                  <c:v>-72.16276071642235</c:v>
                </c:pt>
                <c:pt idx="1">
                  <c:v>-66.14963535075773</c:v>
                </c:pt>
                <c:pt idx="2">
                  <c:v>-54.92991590440117</c:v>
                </c:pt>
                <c:pt idx="3">
                  <c:v>-43.09745015904166</c:v>
                </c:pt>
                <c:pt idx="4">
                  <c:v>-30.77890320852805</c:v>
                </c:pt>
                <c:pt idx="5">
                  <c:v>-17.95636560399658</c:v>
                </c:pt>
                <c:pt idx="6">
                  <c:v>-5.20932279428229</c:v>
                </c:pt>
                <c:pt idx="7">
                  <c:v>6.270647242542256</c:v>
                </c:pt>
                <c:pt idx="8">
                  <c:v>15.95511602043081</c:v>
                </c:pt>
                <c:pt idx="9">
                  <c:v>22.7338945341694</c:v>
                </c:pt>
                <c:pt idx="10">
                  <c:v>26.39759517208137</c:v>
                </c:pt>
                <c:pt idx="11">
                  <c:v>24.97034231492564</c:v>
                </c:pt>
                <c:pt idx="12">
                  <c:v>17.98203198515063</c:v>
                </c:pt>
                <c:pt idx="13">
                  <c:v>9.499746615193806</c:v>
                </c:pt>
                <c:pt idx="14">
                  <c:v>3.66593921920293</c:v>
                </c:pt>
                <c:pt idx="15">
                  <c:v>-1.21175152035517</c:v>
                </c:pt>
                <c:pt idx="16">
                  <c:v>-7.168032298332577</c:v>
                </c:pt>
                <c:pt idx="17">
                  <c:v>-15.16973494561415</c:v>
                </c:pt>
                <c:pt idx="18">
                  <c:v>-27.29249834290603</c:v>
                </c:pt>
                <c:pt idx="19">
                  <c:v>-36.91134064898086</c:v>
                </c:pt>
                <c:pt idx="20">
                  <c:v>-44.26323108310294</c:v>
                </c:pt>
                <c:pt idx="21">
                  <c:v>-50.38408357988822</c:v>
                </c:pt>
                <c:pt idx="22">
                  <c:v>-55.39371655286663</c:v>
                </c:pt>
                <c:pt idx="23">
                  <c:v>-59.53859823863883</c:v>
                </c:pt>
                <c:pt idx="24">
                  <c:v>-63.00332099041426</c:v>
                </c:pt>
                <c:pt idx="25">
                  <c:v>-65.83151338092376</c:v>
                </c:pt>
                <c:pt idx="26">
                  <c:v>-68.20865249949207</c:v>
                </c:pt>
                <c:pt idx="27">
                  <c:v>-70.06853279600566</c:v>
                </c:pt>
                <c:pt idx="28">
                  <c:v>-71.58670790996257</c:v>
                </c:pt>
                <c:pt idx="29">
                  <c:v>-72.42176055660781</c:v>
                </c:pt>
              </c:numCache>
            </c:numRef>
          </c:yVal>
          <c:smooth val="1"/>
        </c:ser>
        <c:dLbls>
          <c:showLegendKey val="0"/>
          <c:showVal val="0"/>
          <c:showCatName val="0"/>
          <c:showSerName val="0"/>
          <c:showPercent val="0"/>
          <c:showBubbleSize val="0"/>
        </c:dLbls>
        <c:axId val="2109887048"/>
        <c:axId val="2109884024"/>
      </c:scatterChart>
      <c:valAx>
        <c:axId val="2109887048"/>
        <c:scaling>
          <c:orientation val="minMax"/>
        </c:scaling>
        <c:delete val="0"/>
        <c:axPos val="b"/>
        <c:numFmt formatCode="General" sourceLinked="1"/>
        <c:majorTickMark val="out"/>
        <c:minorTickMark val="none"/>
        <c:tickLblPos val="nextTo"/>
        <c:crossAx val="2109884024"/>
        <c:crosses val="autoZero"/>
        <c:crossBetween val="midCat"/>
      </c:valAx>
      <c:valAx>
        <c:axId val="2109884024"/>
        <c:scaling>
          <c:orientation val="minMax"/>
        </c:scaling>
        <c:delete val="0"/>
        <c:axPos val="l"/>
        <c:majorGridlines/>
        <c:numFmt formatCode="General" sourceLinked="1"/>
        <c:majorTickMark val="out"/>
        <c:minorTickMark val="none"/>
        <c:tickLblPos val="nextTo"/>
        <c:crossAx val="2109887048"/>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'5'!$N$2:$N$31</c:f>
              <c:numCache>
                <c:formatCode>General</c:formatCode>
                <c:ptCount val="30"/>
                <c:pt idx="0">
                  <c:v>669.3566954642606</c:v>
                </c:pt>
                <c:pt idx="1">
                  <c:v>648.852655977768</c:v>
                </c:pt>
                <c:pt idx="2">
                  <c:v>611.2188252809992</c:v>
                </c:pt>
                <c:pt idx="3">
                  <c:v>573.3336533836158</c:v>
                </c:pt>
                <c:pt idx="4">
                  <c:v>535.5001320753822</c:v>
                </c:pt>
                <c:pt idx="5">
                  <c:v>497.777657774054</c:v>
                </c:pt>
                <c:pt idx="6">
                  <c:v>460.1028482633115</c:v>
                </c:pt>
                <c:pt idx="7">
                  <c:v>422.4200925018972</c:v>
                </c:pt>
                <c:pt idx="8">
                  <c:v>384.5675060402422</c:v>
                </c:pt>
                <c:pt idx="9">
                  <c:v>346.7007817922605</c:v>
                </c:pt>
                <c:pt idx="10">
                  <c:v>308.804998581068</c:v>
                </c:pt>
                <c:pt idx="11">
                  <c:v>272.145301411604</c:v>
                </c:pt>
                <c:pt idx="12">
                  <c:v>241.3956150291997</c:v>
                </c:pt>
                <c:pt idx="13">
                  <c:v>226.8399879483179</c:v>
                </c:pt>
                <c:pt idx="14">
                  <c:v>221.6530949525321</c:v>
                </c:pt>
                <c:pt idx="15">
                  <c:v>220.7213761682534</c:v>
                </c:pt>
                <c:pt idx="16">
                  <c:v>223.6694746284526</c:v>
                </c:pt>
                <c:pt idx="17">
                  <c:v>234.2421623210768</c:v>
                </c:pt>
                <c:pt idx="18">
                  <c:v>261.0840542342776</c:v>
                </c:pt>
                <c:pt idx="19">
                  <c:v>297.2778010540512</c:v>
                </c:pt>
                <c:pt idx="20">
                  <c:v>335.3146973345492</c:v>
                </c:pt>
                <c:pt idx="21">
                  <c:v>373.8654816119496</c:v>
                </c:pt>
                <c:pt idx="22">
                  <c:v>412.7195054145664</c:v>
                </c:pt>
                <c:pt idx="23">
                  <c:v>451.8609938646989</c:v>
                </c:pt>
                <c:pt idx="24">
                  <c:v>491.1284454293294</c:v>
                </c:pt>
                <c:pt idx="25">
                  <c:v>530.4554189692047</c:v>
                </c:pt>
                <c:pt idx="26">
                  <c:v>569.8028390845777</c:v>
                </c:pt>
                <c:pt idx="27">
                  <c:v>609.1809535647715</c:v>
                </c:pt>
                <c:pt idx="28">
                  <c:v>648.1457950813974</c:v>
                </c:pt>
                <c:pt idx="29">
                  <c:v>669.3118761714047</c:v>
                </c:pt>
              </c:numCache>
            </c:numRef>
          </c:xVal>
          <c:yVal>
            <c:numRef>
              <c:f>'5'!$O$2:$O$31</c:f>
              <c:numCache>
                <c:formatCode>General</c:formatCode>
                <c:ptCount val="30"/>
                <c:pt idx="0">
                  <c:v>-64.47520463254571</c:v>
                </c:pt>
                <c:pt idx="1">
                  <c:v>-59.0994464335383</c:v>
                </c:pt>
                <c:pt idx="2">
                  <c:v>-48.99616421364126</c:v>
                </c:pt>
                <c:pt idx="3">
                  <c:v>-38.41421983303753</c:v>
                </c:pt>
                <c:pt idx="4">
                  <c:v>-27.47744907032514</c:v>
                </c:pt>
                <c:pt idx="5">
                  <c:v>-16.17591443430083</c:v>
                </c:pt>
                <c:pt idx="6">
                  <c:v>-4.990702457556674</c:v>
                </c:pt>
                <c:pt idx="7">
                  <c:v>5.090341855749926</c:v>
                </c:pt>
                <c:pt idx="8">
                  <c:v>13.61266284681605</c:v>
                </c:pt>
                <c:pt idx="9">
                  <c:v>19.63657849556535</c:v>
                </c:pt>
                <c:pt idx="10">
                  <c:v>22.93762726051654</c:v>
                </c:pt>
                <c:pt idx="11">
                  <c:v>21.80882672563867</c:v>
                </c:pt>
                <c:pt idx="12">
                  <c:v>15.78150186727834</c:v>
                </c:pt>
                <c:pt idx="13">
                  <c:v>8.438930154120065</c:v>
                </c:pt>
                <c:pt idx="14">
                  <c:v>3.23453383995497</c:v>
                </c:pt>
                <c:pt idx="15">
                  <c:v>-1.243575215959828</c:v>
                </c:pt>
                <c:pt idx="16">
                  <c:v>-6.658613012300004</c:v>
                </c:pt>
                <c:pt idx="17">
                  <c:v>-13.87717055340147</c:v>
                </c:pt>
                <c:pt idx="18">
                  <c:v>-24.73109365726244</c:v>
                </c:pt>
                <c:pt idx="19">
                  <c:v>-33.44749153732422</c:v>
                </c:pt>
                <c:pt idx="20">
                  <c:v>-40.0925275500535</c:v>
                </c:pt>
                <c:pt idx="21">
                  <c:v>-45.57374705579737</c:v>
                </c:pt>
                <c:pt idx="22">
                  <c:v>-50.03190233636155</c:v>
                </c:pt>
                <c:pt idx="23">
                  <c:v>-53.69749820078908</c:v>
                </c:pt>
                <c:pt idx="24">
                  <c:v>-56.74149473429142</c:v>
                </c:pt>
                <c:pt idx="25">
                  <c:v>-59.21289508007895</c:v>
                </c:pt>
                <c:pt idx="26">
                  <c:v>-61.26947436995122</c:v>
                </c:pt>
                <c:pt idx="27">
                  <c:v>-62.86029600392186</c:v>
                </c:pt>
                <c:pt idx="28">
                  <c:v>-64.12485458542348</c:v>
                </c:pt>
                <c:pt idx="29">
                  <c:v>-64.79247617953769</c:v>
                </c:pt>
              </c:numCache>
            </c:numRef>
          </c:yVal>
          <c:smooth val="1"/>
        </c:ser>
        <c:dLbls>
          <c:showLegendKey val="0"/>
          <c:showVal val="0"/>
          <c:showCatName val="0"/>
          <c:showSerName val="0"/>
          <c:showPercent val="0"/>
          <c:showBubbleSize val="0"/>
        </c:dLbls>
        <c:axId val="2109846888"/>
        <c:axId val="2109843864"/>
      </c:scatterChart>
      <c:valAx>
        <c:axId val="2109846888"/>
        <c:scaling>
          <c:orientation val="minMax"/>
        </c:scaling>
        <c:delete val="0"/>
        <c:axPos val="b"/>
        <c:numFmt formatCode="General" sourceLinked="1"/>
        <c:majorTickMark val="out"/>
        <c:minorTickMark val="none"/>
        <c:tickLblPos val="nextTo"/>
        <c:crossAx val="2109843864"/>
        <c:crosses val="autoZero"/>
        <c:crossBetween val="midCat"/>
      </c:valAx>
      <c:valAx>
        <c:axId val="2109843864"/>
        <c:scaling>
          <c:orientation val="minMax"/>
        </c:scaling>
        <c:delete val="0"/>
        <c:axPos val="l"/>
        <c:majorGridlines/>
        <c:numFmt formatCode="General" sourceLinked="1"/>
        <c:majorTickMark val="out"/>
        <c:minorTickMark val="none"/>
        <c:tickLblPos val="nextTo"/>
        <c:crossAx val="2109846888"/>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'6'!$N$2:$N$31</c:f>
              <c:numCache>
                <c:formatCode>General</c:formatCode>
                <c:ptCount val="30"/>
                <c:pt idx="0">
                  <c:v>685.1012311709478</c:v>
                </c:pt>
                <c:pt idx="1">
                  <c:v>666.61703914319</c:v>
                </c:pt>
                <c:pt idx="2">
                  <c:v>632.2114012242868</c:v>
                </c:pt>
                <c:pt idx="3">
                  <c:v>597.498938877512</c:v>
                </c:pt>
                <c:pt idx="4">
                  <c:v>562.8150085162251</c:v>
                </c:pt>
                <c:pt idx="5">
                  <c:v>528.2124909140432</c:v>
                </c:pt>
                <c:pt idx="6">
                  <c:v>493.6484755558141</c:v>
                </c:pt>
                <c:pt idx="7">
                  <c:v>459.0894222447707</c:v>
                </c:pt>
                <c:pt idx="8">
                  <c:v>424.4163999870156</c:v>
                </c:pt>
                <c:pt idx="9">
                  <c:v>389.771854829329</c:v>
                </c:pt>
                <c:pt idx="10">
                  <c:v>355.1781157380303</c:v>
                </c:pt>
                <c:pt idx="11">
                  <c:v>321.7904705256025</c:v>
                </c:pt>
                <c:pt idx="12">
                  <c:v>294.2421987042341</c:v>
                </c:pt>
                <c:pt idx="13">
                  <c:v>281.3382595863918</c:v>
                </c:pt>
                <c:pt idx="14">
                  <c:v>276.6736555271769</c:v>
                </c:pt>
                <c:pt idx="15">
                  <c:v>275.8908166774768</c:v>
                </c:pt>
                <c:pt idx="16">
                  <c:v>278.7005788960213</c:v>
                </c:pt>
                <c:pt idx="17">
                  <c:v>288.3691876189391</c:v>
                </c:pt>
                <c:pt idx="18">
                  <c:v>312.7321785413681</c:v>
                </c:pt>
                <c:pt idx="19">
                  <c:v>345.6955530722042</c:v>
                </c:pt>
                <c:pt idx="20">
                  <c:v>380.3765846113858</c:v>
                </c:pt>
                <c:pt idx="21">
                  <c:v>415.5635762757512</c:v>
                </c:pt>
                <c:pt idx="22">
                  <c:v>451.0435098076618</c:v>
                </c:pt>
                <c:pt idx="23">
                  <c:v>486.7839998714767</c:v>
                </c:pt>
                <c:pt idx="24">
                  <c:v>522.6442122350059</c:v>
                </c:pt>
                <c:pt idx="25">
                  <c:v>558.5628964554365</c:v>
                </c:pt>
                <c:pt idx="26">
                  <c:v>594.5032769357044</c:v>
                </c:pt>
                <c:pt idx="27">
                  <c:v>630.4665196766475</c:v>
                </c:pt>
                <c:pt idx="28">
                  <c:v>666.0042881749387</c:v>
                </c:pt>
                <c:pt idx="29">
                  <c:v>685.0529723992998</c:v>
                </c:pt>
              </c:numCache>
            </c:numRef>
          </c:xVal>
          <c:yVal>
            <c:numRef>
              <c:f>'6'!$O$2:$O$31</c:f>
              <c:numCache>
                <c:formatCode>General</c:formatCode>
                <c:ptCount val="30"/>
                <c:pt idx="0">
                  <c:v>-55.43696770013863</c:v>
                </c:pt>
                <c:pt idx="1">
                  <c:v>-50.74798180979224</c:v>
                </c:pt>
                <c:pt idx="2">
                  <c:v>-41.86984529605397</c:v>
                </c:pt>
                <c:pt idx="3">
                  <c:v>-32.63427482754857</c:v>
                </c:pt>
                <c:pt idx="4">
                  <c:v>-23.15905267691941</c:v>
                </c:pt>
                <c:pt idx="5">
                  <c:v>-13.44085698392312</c:v>
                </c:pt>
                <c:pt idx="6">
                  <c:v>-3.871211993768433</c:v>
                </c:pt>
                <c:pt idx="7">
                  <c:v>4.747460937042815</c:v>
                </c:pt>
                <c:pt idx="8">
                  <c:v>12.02906851785516</c:v>
                </c:pt>
                <c:pt idx="9">
                  <c:v>17.19141126026788</c:v>
                </c:pt>
                <c:pt idx="10">
                  <c:v>20.00123721768196</c:v>
                </c:pt>
                <c:pt idx="11">
                  <c:v>19.00706544895217</c:v>
                </c:pt>
                <c:pt idx="12">
                  <c:v>13.76987245993134</c:v>
                </c:pt>
                <c:pt idx="13">
                  <c:v>7.444109750073767</c:v>
                </c:pt>
                <c:pt idx="14">
                  <c:v>2.827549602533528</c:v>
                </c:pt>
                <c:pt idx="15">
                  <c:v>-1.250538732461893</c:v>
                </c:pt>
                <c:pt idx="16">
                  <c:v>-6.118116044041916</c:v>
                </c:pt>
                <c:pt idx="17">
                  <c:v>-12.53291080694956</c:v>
                </c:pt>
                <c:pt idx="18">
                  <c:v>-22.06421451433573</c:v>
                </c:pt>
                <c:pt idx="19">
                  <c:v>-29.76230808819332</c:v>
                </c:pt>
                <c:pt idx="20">
                  <c:v>-35.57715969919109</c:v>
                </c:pt>
                <c:pt idx="21">
                  <c:v>-40.29991692700133</c:v>
                </c:pt>
                <c:pt idx="22">
                  <c:v>-44.08768021679923</c:v>
                </c:pt>
                <c:pt idx="23">
                  <c:v>-47.15434817135169</c:v>
                </c:pt>
                <c:pt idx="24">
                  <c:v>-49.65737528181597</c:v>
                </c:pt>
                <c:pt idx="25">
                  <c:v>-51.64975404352003</c:v>
                </c:pt>
                <c:pt idx="26">
                  <c:v>-53.26384263873122</c:v>
                </c:pt>
                <c:pt idx="27">
                  <c:v>-54.46230631470996</c:v>
                </c:pt>
                <c:pt idx="28">
                  <c:v>-55.35448073062772</c:v>
                </c:pt>
                <c:pt idx="29">
                  <c:v>-55.7983307457301</c:v>
                </c:pt>
              </c:numCache>
            </c:numRef>
          </c:yVal>
          <c:smooth val="1"/>
        </c:ser>
        <c:dLbls>
          <c:showLegendKey val="0"/>
          <c:showVal val="0"/>
          <c:showCatName val="0"/>
          <c:showSerName val="0"/>
          <c:showPercent val="0"/>
          <c:showBubbleSize val="0"/>
        </c:dLbls>
        <c:axId val="2109806792"/>
        <c:axId val="2109803768"/>
      </c:scatterChart>
      <c:valAx>
        <c:axId val="2109806792"/>
        <c:scaling>
          <c:orientation val="minMax"/>
        </c:scaling>
        <c:delete val="0"/>
        <c:axPos val="b"/>
        <c:numFmt formatCode="General" sourceLinked="1"/>
        <c:majorTickMark val="out"/>
        <c:minorTickMark val="none"/>
        <c:tickLblPos val="nextTo"/>
        <c:crossAx val="2109803768"/>
        <c:crosses val="autoZero"/>
        <c:crossBetween val="midCat"/>
      </c:valAx>
      <c:valAx>
        <c:axId val="2109803768"/>
        <c:scaling>
          <c:orientation val="minMax"/>
        </c:scaling>
        <c:delete val="0"/>
        <c:axPos val="l"/>
        <c:majorGridlines/>
        <c:numFmt formatCode="General" sourceLinked="1"/>
        <c:majorTickMark val="out"/>
        <c:minorTickMark val="none"/>
        <c:tickLblPos val="nextTo"/>
        <c:crossAx val="2109806792"/>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'7'!$N$2:$N$31</c:f>
              <c:numCache>
                <c:formatCode>General</c:formatCode>
                <c:ptCount val="30"/>
                <c:pt idx="0">
                  <c:v>700.8438316299037</c:v>
                </c:pt>
                <c:pt idx="1">
                  <c:v>684.3294243039483</c:v>
                </c:pt>
                <c:pt idx="2">
                  <c:v>653.1517178897739</c:v>
                </c:pt>
                <c:pt idx="3">
                  <c:v>621.626969780447</c:v>
                </c:pt>
                <c:pt idx="4">
                  <c:v>590.1118071339224</c:v>
                </c:pt>
                <c:pt idx="5">
                  <c:v>558.6529171046611</c:v>
                </c:pt>
                <c:pt idx="6">
                  <c:v>527.2256563673424</c:v>
                </c:pt>
                <c:pt idx="7">
                  <c:v>495.8165934955629</c:v>
                </c:pt>
                <c:pt idx="8">
                  <c:v>464.34518901106</c:v>
                </c:pt>
                <c:pt idx="9">
                  <c:v>432.9422245714686</c:v>
                </c:pt>
                <c:pt idx="10">
                  <c:v>401.6616733479296</c:v>
                </c:pt>
                <c:pt idx="11">
                  <c:v>371.5520614144133</c:v>
                </c:pt>
                <c:pt idx="12">
                  <c:v>347.1339673533707</c:v>
                </c:pt>
                <c:pt idx="13">
                  <c:v>335.8319463743089</c:v>
                </c:pt>
                <c:pt idx="14">
                  <c:v>331.6941076680017</c:v>
                </c:pt>
                <c:pt idx="15">
                  <c:v>331.063160871532</c:v>
                </c:pt>
                <c:pt idx="16">
                  <c:v>333.7276817920361</c:v>
                </c:pt>
                <c:pt idx="17">
                  <c:v>342.505698967642</c:v>
                </c:pt>
                <c:pt idx="18">
                  <c:v>364.4346762955222</c:v>
                </c:pt>
                <c:pt idx="19">
                  <c:v>394.1905122285652</c:v>
                </c:pt>
                <c:pt idx="20">
                  <c:v>425.5235076276282</c:v>
                </c:pt>
                <c:pt idx="21">
                  <c:v>457.3422755939232</c:v>
                </c:pt>
                <c:pt idx="22">
                  <c:v>489.4367064057774</c:v>
                </c:pt>
                <c:pt idx="23">
                  <c:v>521.7622279775006</c:v>
                </c:pt>
                <c:pt idx="24">
                  <c:v>554.1981040015905</c:v>
                </c:pt>
                <c:pt idx="25">
                  <c:v>586.6887783344814</c:v>
                </c:pt>
                <c:pt idx="26">
                  <c:v>619.2003215372338</c:v>
                </c:pt>
                <c:pt idx="27">
                  <c:v>651.7264304654761</c:v>
                </c:pt>
                <c:pt idx="28">
                  <c:v>683.8231439024651</c:v>
                </c:pt>
                <c:pt idx="29">
                  <c:v>700.7962793784647</c:v>
                </c:pt>
              </c:numCache>
            </c:numRef>
          </c:xVal>
          <c:yVal>
            <c:numRef>
              <c:f>'7'!$O$2:$O$31</c:f>
              <c:numCache>
                <c:formatCode>General</c:formatCode>
                <c:ptCount val="30"/>
                <c:pt idx="0">
                  <c:v>-45.40435152391419</c:v>
                </c:pt>
                <c:pt idx="1">
                  <c:v>-41.43259578597005</c:v>
                </c:pt>
                <c:pt idx="2">
                  <c:v>-33.857371448783</c:v>
                </c:pt>
                <c:pt idx="3">
                  <c:v>-26.03320604924646</c:v>
                </c:pt>
                <c:pt idx="4">
                  <c:v>-18.06838946193612</c:v>
                </c:pt>
                <c:pt idx="5">
                  <c:v>-9.964898581191422</c:v>
                </c:pt>
                <c:pt idx="6">
                  <c:v>-2.033618567701158</c:v>
                </c:pt>
                <c:pt idx="7">
                  <c:v>5.08980173904505</c:v>
                </c:pt>
                <c:pt idx="8">
                  <c:v>11.08246113635595</c:v>
                </c:pt>
                <c:pt idx="9">
                  <c:v>15.30605020545797</c:v>
                </c:pt>
                <c:pt idx="10">
                  <c:v>17.52508616249567</c:v>
                </c:pt>
                <c:pt idx="11">
                  <c:v>16.52850974501104</c:v>
                </c:pt>
                <c:pt idx="12">
                  <c:v>11.93455575522353</c:v>
                </c:pt>
                <c:pt idx="13">
                  <c:v>6.51314613100085</c:v>
                </c:pt>
                <c:pt idx="14">
                  <c:v>2.445182991956072</c:v>
                </c:pt>
                <c:pt idx="15">
                  <c:v>-1.232740119110413</c:v>
                </c:pt>
                <c:pt idx="16">
                  <c:v>-5.549784883840994</c:v>
                </c:pt>
                <c:pt idx="17">
                  <c:v>-11.15047604215666</c:v>
                </c:pt>
                <c:pt idx="18">
                  <c:v>-19.33031641091878</c:v>
                </c:pt>
                <c:pt idx="19">
                  <c:v>-25.92453010492284</c:v>
                </c:pt>
                <c:pt idx="20">
                  <c:v>-30.81650719026888</c:v>
                </c:pt>
                <c:pt idx="21">
                  <c:v>-34.69236275117445</c:v>
                </c:pt>
                <c:pt idx="22">
                  <c:v>-37.72096339066557</c:v>
                </c:pt>
                <c:pt idx="23">
                  <c:v>-40.09916017223482</c:v>
                </c:pt>
                <c:pt idx="24">
                  <c:v>-41.97091323290904</c:v>
                </c:pt>
                <c:pt idx="25">
                  <c:v>-43.39177619676386</c:v>
                </c:pt>
                <c:pt idx="26">
                  <c:v>-44.47103056303354</c:v>
                </c:pt>
                <c:pt idx="27">
                  <c:v>-45.18331431112551</c:v>
                </c:pt>
                <c:pt idx="28">
                  <c:v>-45.61380481410104</c:v>
                </c:pt>
                <c:pt idx="29">
                  <c:v>-45.79561978974922</c:v>
                </c:pt>
              </c:numCache>
            </c:numRef>
          </c:yVal>
          <c:smooth val="1"/>
        </c:ser>
        <c:dLbls>
          <c:showLegendKey val="0"/>
          <c:showVal val="0"/>
          <c:showCatName val="0"/>
          <c:showSerName val="0"/>
          <c:showPercent val="0"/>
          <c:showBubbleSize val="0"/>
        </c:dLbls>
        <c:axId val="2109766696"/>
        <c:axId val="2109763672"/>
      </c:scatterChart>
      <c:valAx>
        <c:axId val="2109766696"/>
        <c:scaling>
          <c:orientation val="minMax"/>
        </c:scaling>
        <c:delete val="0"/>
        <c:axPos val="b"/>
        <c:numFmt formatCode="General" sourceLinked="1"/>
        <c:majorTickMark val="out"/>
        <c:minorTickMark val="none"/>
        <c:tickLblPos val="nextTo"/>
        <c:crossAx val="2109763672"/>
        <c:crosses val="autoZero"/>
        <c:crossBetween val="midCat"/>
      </c:valAx>
      <c:valAx>
        <c:axId val="2109763672"/>
        <c:scaling>
          <c:orientation val="minMax"/>
        </c:scaling>
        <c:delete val="0"/>
        <c:axPos val="l"/>
        <c:majorGridlines/>
        <c:numFmt formatCode="General" sourceLinked="1"/>
        <c:majorTickMark val="out"/>
        <c:minorTickMark val="none"/>
        <c:tickLblPos val="nextTo"/>
        <c:crossAx val="2109766696"/>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'8'!$N$2:$N$31</c:f>
              <c:numCache>
                <c:formatCode>General</c:formatCode>
                <c:ptCount val="30"/>
                <c:pt idx="0">
                  <c:v>716.5845237776273</c:v>
                </c:pt>
                <c:pt idx="1">
                  <c:v>701.9919152244264</c:v>
                </c:pt>
                <c:pt idx="2">
                  <c:v>674.0459195242884</c:v>
                </c:pt>
                <c:pt idx="3">
                  <c:v>645.7286698890523</c:v>
                </c:pt>
                <c:pt idx="4">
                  <c:v>617.4069020955999</c:v>
                </c:pt>
                <c:pt idx="5">
                  <c:v>589.1214743896516</c:v>
                </c:pt>
                <c:pt idx="6">
                  <c:v>560.8631956088352</c:v>
                </c:pt>
                <c:pt idx="7">
                  <c:v>532.6355397790548</c:v>
                </c:pt>
                <c:pt idx="8">
                  <c:v>504.3912671574828</c:v>
                </c:pt>
                <c:pt idx="9">
                  <c:v>476.2500199635142</c:v>
                </c:pt>
                <c:pt idx="10">
                  <c:v>448.2917313627212</c:v>
                </c:pt>
                <c:pt idx="11">
                  <c:v>421.4596191771655</c:v>
                </c:pt>
                <c:pt idx="12">
                  <c:v>400.0896520946805</c:v>
                </c:pt>
                <c:pt idx="13">
                  <c:v>390.3298983604002</c:v>
                </c:pt>
                <c:pt idx="14">
                  <c:v>386.7177572311433</c:v>
                </c:pt>
                <c:pt idx="15">
                  <c:v>386.2379246058399</c:v>
                </c:pt>
                <c:pt idx="16">
                  <c:v>388.7460162605355</c:v>
                </c:pt>
                <c:pt idx="17">
                  <c:v>396.6419599600275</c:v>
                </c:pt>
                <c:pt idx="18">
                  <c:v>416.1755530811977</c:v>
                </c:pt>
                <c:pt idx="19">
                  <c:v>442.7439894802991</c:v>
                </c:pt>
                <c:pt idx="20">
                  <c:v>470.7360181391739</c:v>
                </c:pt>
                <c:pt idx="21">
                  <c:v>499.182223453985</c:v>
                </c:pt>
                <c:pt idx="22">
                  <c:v>527.880677055136</c:v>
                </c:pt>
                <c:pt idx="23">
                  <c:v>556.7788837375053</c:v>
                </c:pt>
                <c:pt idx="24">
                  <c:v>585.7754778181097</c:v>
                </c:pt>
                <c:pt idx="25">
                  <c:v>614.8210887517859</c:v>
                </c:pt>
                <c:pt idx="26">
                  <c:v>643.8849976096848</c:v>
                </c:pt>
                <c:pt idx="27">
                  <c:v>672.9551318991673</c:v>
                </c:pt>
                <c:pt idx="28">
                  <c:v>701.6004202022611</c:v>
                </c:pt>
                <c:pt idx="29">
                  <c:v>716.5418833642675</c:v>
                </c:pt>
              </c:numCache>
            </c:numRef>
          </c:xVal>
          <c:yVal>
            <c:numRef>
              <c:f>'8'!$O$2:$O$31</c:f>
              <c:numCache>
                <c:formatCode>General</c:formatCode>
                <c:ptCount val="30"/>
                <c:pt idx="0">
                  <c:v>-34.77815812080686</c:v>
                </c:pt>
                <c:pt idx="1">
                  <c:v>-31.53393050753272</c:v>
                </c:pt>
                <c:pt idx="2">
                  <c:v>-25.30439936819284</c:v>
                </c:pt>
                <c:pt idx="3">
                  <c:v>-18.92159461143652</c:v>
                </c:pt>
                <c:pt idx="4">
                  <c:v>-12.48091535309046</c:v>
                </c:pt>
                <c:pt idx="5">
                  <c:v>-5.988369007063168</c:v>
                </c:pt>
                <c:pt idx="6">
                  <c:v>0.316794835289338</c:v>
                </c:pt>
                <c:pt idx="7">
                  <c:v>5.946762552219914</c:v>
                </c:pt>
                <c:pt idx="8">
                  <c:v>10.63663658707297</c:v>
                </c:pt>
                <c:pt idx="9">
                  <c:v>13.8778998669691</c:v>
                </c:pt>
                <c:pt idx="10">
                  <c:v>15.43950188709466</c:v>
                </c:pt>
                <c:pt idx="11">
                  <c:v>14.33400352522629</c:v>
                </c:pt>
                <c:pt idx="12">
                  <c:v>10.26202609388071</c:v>
                </c:pt>
                <c:pt idx="13">
                  <c:v>5.643495952644855</c:v>
                </c:pt>
                <c:pt idx="14">
                  <c:v>2.087596032562075</c:v>
                </c:pt>
                <c:pt idx="15">
                  <c:v>-1.190547659650808</c:v>
                </c:pt>
                <c:pt idx="16">
                  <c:v>-4.957907461485324</c:v>
                </c:pt>
                <c:pt idx="17">
                  <c:v>-9.745574047819705</c:v>
                </c:pt>
                <c:pt idx="18">
                  <c:v>-16.57219434678005</c:v>
                </c:pt>
                <c:pt idx="19">
                  <c:v>-22.01074567776177</c:v>
                </c:pt>
                <c:pt idx="20">
                  <c:v>-25.92159608848846</c:v>
                </c:pt>
                <c:pt idx="21">
                  <c:v>-28.89642028125832</c:v>
                </c:pt>
                <c:pt idx="22">
                  <c:v>-31.11121695641107</c:v>
                </c:pt>
                <c:pt idx="23">
                  <c:v>-32.74549300944003</c:v>
                </c:pt>
                <c:pt idx="24">
                  <c:v>-33.92962227796334</c:v>
                </c:pt>
                <c:pt idx="25">
                  <c:v>-34.72025128497268</c:v>
                </c:pt>
                <c:pt idx="26">
                  <c:v>-35.20595994358365</c:v>
                </c:pt>
                <c:pt idx="27">
                  <c:v>-35.37175055281489</c:v>
                </c:pt>
                <c:pt idx="28">
                  <c:v>-35.28451792757003</c:v>
                </c:pt>
                <c:pt idx="29">
                  <c:v>-35.18521284067595</c:v>
                </c:pt>
              </c:numCache>
            </c:numRef>
          </c:yVal>
          <c:smooth val="1"/>
        </c:ser>
        <c:dLbls>
          <c:showLegendKey val="0"/>
          <c:showVal val="0"/>
          <c:showCatName val="0"/>
          <c:showSerName val="0"/>
          <c:showPercent val="0"/>
          <c:showBubbleSize val="0"/>
        </c:dLbls>
        <c:axId val="2110956376"/>
        <c:axId val="2110959400"/>
      </c:scatterChart>
      <c:valAx>
        <c:axId val="2110956376"/>
        <c:scaling>
          <c:orientation val="minMax"/>
        </c:scaling>
        <c:delete val="0"/>
        <c:axPos val="b"/>
        <c:numFmt formatCode="General" sourceLinked="1"/>
        <c:majorTickMark val="out"/>
        <c:minorTickMark val="none"/>
        <c:tickLblPos val="nextTo"/>
        <c:crossAx val="2110959400"/>
        <c:crosses val="autoZero"/>
        <c:crossBetween val="midCat"/>
      </c:valAx>
      <c:valAx>
        <c:axId val="2110959400"/>
        <c:scaling>
          <c:orientation val="minMax"/>
        </c:scaling>
        <c:delete val="0"/>
        <c:axPos val="l"/>
        <c:majorGridlines/>
        <c:numFmt formatCode="General" sourceLinked="1"/>
        <c:majorTickMark val="out"/>
        <c:minorTickMark val="none"/>
        <c:tickLblPos val="nextTo"/>
        <c:crossAx val="2110956376"/>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'9'!$N$2:$N$31</c:f>
              <c:numCache>
                <c:formatCode>General</c:formatCode>
                <c:ptCount val="30"/>
                <c:pt idx="0">
                  <c:v>732.3234865835412</c:v>
                </c:pt>
                <c:pt idx="1">
                  <c:v>719.606932851583</c:v>
                </c:pt>
                <c:pt idx="2">
                  <c:v>694.9007629801211</c:v>
                </c:pt>
                <c:pt idx="3">
                  <c:v>669.8155682286299</c:v>
                </c:pt>
                <c:pt idx="4">
                  <c:v>644.7169566503754</c:v>
                </c:pt>
                <c:pt idx="5">
                  <c:v>619.6403414003788</c:v>
                </c:pt>
                <c:pt idx="6">
                  <c:v>594.588700384221</c:v>
                </c:pt>
                <c:pt idx="7">
                  <c:v>569.5782588321356</c:v>
                </c:pt>
                <c:pt idx="8">
                  <c:v>544.5895334665233</c:v>
                </c:pt>
                <c:pt idx="9">
                  <c:v>519.7306824663291</c:v>
                </c:pt>
                <c:pt idx="10">
                  <c:v>495.1017134065821</c:v>
                </c:pt>
                <c:pt idx="11">
                  <c:v>471.5405525037345</c:v>
                </c:pt>
                <c:pt idx="12">
                  <c:v>453.1268373642451</c:v>
                </c:pt>
                <c:pt idx="13">
                  <c:v>444.8408239459111</c:v>
                </c:pt>
                <c:pt idx="14">
                  <c:v>441.7477669494932</c:v>
                </c:pt>
                <c:pt idx="15">
                  <c:v>441.4140103481368</c:v>
                </c:pt>
                <c:pt idx="16">
                  <c:v>443.7498622278295</c:v>
                </c:pt>
                <c:pt idx="17">
                  <c:v>450.7669693568565</c:v>
                </c:pt>
                <c:pt idx="18">
                  <c:v>467.9373179055152</c:v>
                </c:pt>
                <c:pt idx="19">
                  <c:v>491.3352749096709</c:v>
                </c:pt>
                <c:pt idx="20">
                  <c:v>515.9923470234112</c:v>
                </c:pt>
                <c:pt idx="21">
                  <c:v>541.0617227142643</c:v>
                </c:pt>
                <c:pt idx="22">
                  <c:v>566.35477966356</c:v>
                </c:pt>
                <c:pt idx="23">
                  <c:v>591.8151504645596</c:v>
                </c:pt>
                <c:pt idx="24">
                  <c:v>617.3599334727201</c:v>
                </c:pt>
                <c:pt idx="25">
                  <c:v>642.9463835675196</c:v>
                </c:pt>
                <c:pt idx="26">
                  <c:v>668.5472022405099</c:v>
                </c:pt>
                <c:pt idx="27">
                  <c:v>694.146299101493</c:v>
                </c:pt>
                <c:pt idx="28">
                  <c:v>719.3338144769748</c:v>
                </c:pt>
                <c:pt idx="29">
                  <c:v>732.2896882320103</c:v>
                </c:pt>
              </c:numCache>
            </c:numRef>
          </c:xVal>
          <c:yVal>
            <c:numRef>
              <c:f>'9'!$O$2:$O$31</c:f>
              <c:numCache>
                <c:formatCode>General</c:formatCode>
                <c:ptCount val="30"/>
                <c:pt idx="0">
                  <c:v>-24.00652510050333</c:v>
                </c:pt>
                <c:pt idx="1">
                  <c:v>-21.47879236516302</c:v>
                </c:pt>
                <c:pt idx="2">
                  <c:v>-16.59851385369351</c:v>
                </c:pt>
                <c:pt idx="3">
                  <c:v>-11.6474806393388</c:v>
                </c:pt>
                <c:pt idx="4">
                  <c:v>-6.705132628954976</c:v>
                </c:pt>
                <c:pt idx="5">
                  <c:v>-1.780298483349894</c:v>
                </c:pt>
                <c:pt idx="6">
                  <c:v>2.950339472357855</c:v>
                </c:pt>
                <c:pt idx="7">
                  <c:v>7.127660884998234</c:v>
                </c:pt>
                <c:pt idx="8">
                  <c:v>10.53960564477159</c:v>
                </c:pt>
                <c:pt idx="9">
                  <c:v>12.79293645434941</c:v>
                </c:pt>
                <c:pt idx="10">
                  <c:v>13.6676081102083</c:v>
                </c:pt>
                <c:pt idx="11">
                  <c:v>12.381279027621</c:v>
                </c:pt>
                <c:pt idx="12">
                  <c:v>8.737500286704852</c:v>
                </c:pt>
                <c:pt idx="13">
                  <c:v>4.832025037100749</c:v>
                </c:pt>
                <c:pt idx="14">
                  <c:v>1.754855280665205</c:v>
                </c:pt>
                <c:pt idx="15">
                  <c:v>-1.124613402252626</c:v>
                </c:pt>
                <c:pt idx="16">
                  <c:v>-4.347822996658637</c:v>
                </c:pt>
                <c:pt idx="17">
                  <c:v>-8.336076718183623</c:v>
                </c:pt>
                <c:pt idx="18">
                  <c:v>-13.83691662652471</c:v>
                </c:pt>
                <c:pt idx="19">
                  <c:v>-18.10547157773804</c:v>
                </c:pt>
                <c:pt idx="20">
                  <c:v>-21.01539945514876</c:v>
                </c:pt>
                <c:pt idx="21">
                  <c:v>-23.07355112777336</c:v>
                </c:pt>
                <c:pt idx="22">
                  <c:v>-24.45830507510573</c:v>
                </c:pt>
                <c:pt idx="23">
                  <c:v>-25.33160227137625</c:v>
                </c:pt>
                <c:pt idx="24">
                  <c:v>-25.81004676456852</c:v>
                </c:pt>
                <c:pt idx="25">
                  <c:v>-25.94987246851537</c:v>
                </c:pt>
                <c:pt idx="26">
                  <c:v>-25.82134144061841</c:v>
                </c:pt>
                <c:pt idx="27">
                  <c:v>-25.41821348619143</c:v>
                </c:pt>
                <c:pt idx="28">
                  <c:v>-24.79459235055457</c:v>
                </c:pt>
                <c:pt idx="29">
                  <c:v>-24.41539241683971</c:v>
                </c:pt>
              </c:numCache>
            </c:numRef>
          </c:yVal>
          <c:smooth val="1"/>
        </c:ser>
        <c:dLbls>
          <c:showLegendKey val="0"/>
          <c:showVal val="0"/>
          <c:showCatName val="0"/>
          <c:showSerName val="0"/>
          <c:showPercent val="0"/>
          <c:showBubbleSize val="0"/>
        </c:dLbls>
        <c:axId val="2110996456"/>
        <c:axId val="2110999480"/>
      </c:scatterChart>
      <c:valAx>
        <c:axId val="2110996456"/>
        <c:scaling>
          <c:orientation val="minMax"/>
        </c:scaling>
        <c:delete val="0"/>
        <c:axPos val="b"/>
        <c:numFmt formatCode="General" sourceLinked="1"/>
        <c:majorTickMark val="out"/>
        <c:minorTickMark val="none"/>
        <c:tickLblPos val="nextTo"/>
        <c:crossAx val="2110999480"/>
        <c:crosses val="autoZero"/>
        <c:crossBetween val="midCat"/>
      </c:valAx>
      <c:valAx>
        <c:axId val="2110999480"/>
        <c:scaling>
          <c:orientation val="minMax"/>
        </c:scaling>
        <c:delete val="0"/>
        <c:axPos val="l"/>
        <c:majorGridlines/>
        <c:numFmt formatCode="General" sourceLinked="1"/>
        <c:majorTickMark val="out"/>
        <c:minorTickMark val="none"/>
        <c:tickLblPos val="nextTo"/>
        <c:crossAx val="2110996456"/>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'10'!$N$2:$N$31</c:f>
              <c:numCache>
                <c:formatCode>General</c:formatCode>
                <c:ptCount val="30"/>
                <c:pt idx="0">
                  <c:v>748.0610840295377</c:v>
                </c:pt>
                <c:pt idx="1">
                  <c:v>737.1773154566478</c:v>
                </c:pt>
                <c:pt idx="2">
                  <c:v>715.72384297799</c:v>
                </c:pt>
                <c:pt idx="3">
                  <c:v>693.9000958851821</c:v>
                </c:pt>
                <c:pt idx="4">
                  <c:v>672.0592356548682</c:v>
                </c:pt>
                <c:pt idx="5">
                  <c:v>650.2316053018618</c:v>
                </c:pt>
                <c:pt idx="6">
                  <c:v>628.4287642542773</c:v>
                </c:pt>
                <c:pt idx="7">
                  <c:v>606.674917274772</c:v>
                </c:pt>
                <c:pt idx="8">
                  <c:v>584.9724298154698</c:v>
                </c:pt>
                <c:pt idx="9">
                  <c:v>563.4169739147378</c:v>
                </c:pt>
                <c:pt idx="10">
                  <c:v>542.1223939269391</c:v>
                </c:pt>
                <c:pt idx="11">
                  <c:v>521.8201282069361</c:v>
                </c:pt>
                <c:pt idx="12">
                  <c:v>506.2620019558961</c:v>
                </c:pt>
                <c:pt idx="13">
                  <c:v>499.3733949892346</c:v>
                </c:pt>
                <c:pt idx="14">
                  <c:v>496.7871763688835</c:v>
                </c:pt>
                <c:pt idx="15">
                  <c:v>496.589568373743</c:v>
                </c:pt>
                <c:pt idx="16">
                  <c:v>498.732269496505</c:v>
                </c:pt>
                <c:pt idx="17">
                  <c:v>504.8680411322967</c:v>
                </c:pt>
                <c:pt idx="18">
                  <c:v>519.700417824573</c:v>
                </c:pt>
                <c:pt idx="19">
                  <c:v>539.9409187991829</c:v>
                </c:pt>
                <c:pt idx="20">
                  <c:v>561.2676094706504</c:v>
                </c:pt>
                <c:pt idx="21">
                  <c:v>582.9559374888491</c:v>
                </c:pt>
                <c:pt idx="22">
                  <c:v>604.835389922804</c:v>
                </c:pt>
                <c:pt idx="23">
                  <c:v>626.8494990085492</c:v>
                </c:pt>
                <c:pt idx="24">
                  <c:v>648.9327129131676</c:v>
                </c:pt>
                <c:pt idx="25">
                  <c:v>671.049252546</c:v>
                </c:pt>
                <c:pt idx="26">
                  <c:v>693.1753259680554</c:v>
                </c:pt>
                <c:pt idx="27">
                  <c:v>715.2925862255006</c:v>
                </c:pt>
                <c:pt idx="28">
                  <c:v>737.0205566399693</c:v>
                </c:pt>
                <c:pt idx="29">
                  <c:v>748.0385852767745</c:v>
                </c:pt>
              </c:numCache>
            </c:numRef>
          </c:xVal>
          <c:yVal>
            <c:numRef>
              <c:f>'10'!$O$2:$O$31</c:f>
              <c:numCache>
                <c:formatCode>General</c:formatCode>
                <c:ptCount val="30"/>
                <c:pt idx="0">
                  <c:v>-13.59515209134897</c:v>
                </c:pt>
                <c:pt idx="1">
                  <c:v>-11.7501222496988</c:v>
                </c:pt>
                <c:pt idx="2">
                  <c:v>-8.178396797434402</c:v>
                </c:pt>
                <c:pt idx="3">
                  <c:v>-4.604687207142565</c:v>
                </c:pt>
                <c:pt idx="4">
                  <c:v>-1.09007153585136</c:v>
                </c:pt>
                <c:pt idx="5">
                  <c:v>2.354938968552018</c:v>
                </c:pt>
                <c:pt idx="6">
                  <c:v>5.607117395566361</c:v>
                </c:pt>
                <c:pt idx="7">
                  <c:v>8.416790751352388</c:v>
                </c:pt>
                <c:pt idx="8">
                  <c:v>10.6195295714165</c:v>
                </c:pt>
                <c:pt idx="9">
                  <c:v>11.92256165801348</c:v>
                </c:pt>
                <c:pt idx="10">
                  <c:v>12.12311481308104</c:v>
                </c:pt>
                <c:pt idx="11">
                  <c:v>10.62371382891863</c:v>
                </c:pt>
                <c:pt idx="12">
                  <c:v>7.344320396215853</c:v>
                </c:pt>
                <c:pt idx="13">
                  <c:v>4.074712587052487</c:v>
                </c:pt>
                <c:pt idx="14">
                  <c:v>1.446854782735742</c:v>
                </c:pt>
                <c:pt idx="15">
                  <c:v>-1.035870424814225</c:v>
                </c:pt>
                <c:pt idx="16">
                  <c:v>-3.725953815546249</c:v>
                </c:pt>
                <c:pt idx="17">
                  <c:v>-6.942174588241262</c:v>
                </c:pt>
                <c:pt idx="18">
                  <c:v>-11.17633672693952</c:v>
                </c:pt>
                <c:pt idx="19">
                  <c:v>-14.30237647224629</c:v>
                </c:pt>
                <c:pt idx="20">
                  <c:v>-16.23489333455423</c:v>
                </c:pt>
                <c:pt idx="21">
                  <c:v>-17.4042949653618</c:v>
                </c:pt>
                <c:pt idx="22">
                  <c:v>-17.98638172931495</c:v>
                </c:pt>
                <c:pt idx="23">
                  <c:v>-18.1252941455126</c:v>
                </c:pt>
                <c:pt idx="24">
                  <c:v>-17.92359953482784</c:v>
                </c:pt>
                <c:pt idx="25">
                  <c:v>-17.43557644100328</c:v>
                </c:pt>
                <c:pt idx="26">
                  <c:v>-16.71552899119838</c:v>
                </c:pt>
                <c:pt idx="27">
                  <c:v>-15.76434660544913</c:v>
                </c:pt>
                <c:pt idx="28">
                  <c:v>-14.62814354712059</c:v>
                </c:pt>
                <c:pt idx="29">
                  <c:v>-14.00656307531243</c:v>
                </c:pt>
              </c:numCache>
            </c:numRef>
          </c:yVal>
          <c:smooth val="1"/>
        </c:ser>
        <c:dLbls>
          <c:showLegendKey val="0"/>
          <c:showVal val="0"/>
          <c:showCatName val="0"/>
          <c:showSerName val="0"/>
          <c:showPercent val="0"/>
          <c:showBubbleSize val="0"/>
        </c:dLbls>
        <c:axId val="2111036616"/>
        <c:axId val="2111039640"/>
      </c:scatterChart>
      <c:valAx>
        <c:axId val="2111036616"/>
        <c:scaling>
          <c:orientation val="minMax"/>
        </c:scaling>
        <c:delete val="0"/>
        <c:axPos val="b"/>
        <c:numFmt formatCode="General" sourceLinked="1"/>
        <c:majorTickMark val="out"/>
        <c:minorTickMark val="none"/>
        <c:tickLblPos val="nextTo"/>
        <c:crossAx val="2111039640"/>
        <c:crosses val="autoZero"/>
        <c:crossBetween val="midCat"/>
      </c:valAx>
      <c:valAx>
        <c:axId val="2111039640"/>
        <c:scaling>
          <c:orientation val="minMax"/>
        </c:scaling>
        <c:delete val="0"/>
        <c:axPos val="l"/>
        <c:majorGridlines/>
        <c:numFmt formatCode="General" sourceLinked="1"/>
        <c:majorTickMark val="out"/>
        <c:minorTickMark val="none"/>
        <c:tickLblPos val="nextTo"/>
        <c:crossAx val="2111036616"/>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'11'!$N$2:$N$31</c:f>
              <c:numCache>
                <c:formatCode>General</c:formatCode>
                <c:ptCount val="30"/>
                <c:pt idx="0">
                  <c:v>763.7979252846991</c:v>
                </c:pt>
                <c:pt idx="1">
                  <c:v>754.7065466034501</c:v>
                </c:pt>
                <c:pt idx="2">
                  <c:v>736.5241365062217</c:v>
                </c:pt>
                <c:pt idx="3">
                  <c:v>717.9963666418907</c:v>
                </c:pt>
                <c:pt idx="4">
                  <c:v>699.4525365293633</c:v>
                </c:pt>
                <c:pt idx="5">
                  <c:v>680.9182501631631</c:v>
                </c:pt>
                <c:pt idx="6">
                  <c:v>662.409944693683</c:v>
                </c:pt>
                <c:pt idx="7">
                  <c:v>643.954799067725</c:v>
                </c:pt>
                <c:pt idx="8">
                  <c:v>625.5708461029882</c:v>
                </c:pt>
                <c:pt idx="9">
                  <c:v>607.339843986996</c:v>
                </c:pt>
                <c:pt idx="10">
                  <c:v>589.3826819591292</c:v>
                </c:pt>
                <c:pt idx="11">
                  <c:v>572.32212252619</c:v>
                </c:pt>
                <c:pt idx="12">
                  <c:v>559.5110123301881</c:v>
                </c:pt>
                <c:pt idx="13">
                  <c:v>553.9366347111439</c:v>
                </c:pt>
                <c:pt idx="14">
                  <c:v>551.8390118400969</c:v>
                </c:pt>
                <c:pt idx="15">
                  <c:v>551.7617352040231</c:v>
                </c:pt>
                <c:pt idx="16">
                  <c:v>553.684450520386</c:v>
                </c:pt>
                <c:pt idx="17">
                  <c:v>558.9298280099327</c:v>
                </c:pt>
                <c:pt idx="18">
                  <c:v>571.441858758607</c:v>
                </c:pt>
                <c:pt idx="19">
                  <c:v>588.5330147805751</c:v>
                </c:pt>
                <c:pt idx="20">
                  <c:v>606.5319340722563</c:v>
                </c:pt>
                <c:pt idx="21">
                  <c:v>624.8350190474464</c:v>
                </c:pt>
                <c:pt idx="22">
                  <c:v>643.2941194355797</c:v>
                </c:pt>
                <c:pt idx="23">
                  <c:v>661.8560651514597</c:v>
                </c:pt>
                <c:pt idx="24">
                  <c:v>680.4712877857265</c:v>
                </c:pt>
                <c:pt idx="25">
                  <c:v>699.1111521421523</c:v>
                </c:pt>
                <c:pt idx="26">
                  <c:v>717.7553674795912</c:v>
                </c:pt>
                <c:pt idx="27">
                  <c:v>736.3850503506773</c:v>
                </c:pt>
                <c:pt idx="28">
                  <c:v>754.6571724610632</c:v>
                </c:pt>
                <c:pt idx="29">
                  <c:v>763.7903492197555</c:v>
                </c:pt>
              </c:numCache>
            </c:numRef>
          </c:xVal>
          <c:yVal>
            <c:numRef>
              <c:f>'11'!$O$2:$O$31</c:f>
              <c:numCache>
                <c:formatCode>General</c:formatCode>
                <c:ptCount val="30"/>
                <c:pt idx="0">
                  <c:v>-4.139394047343559</c:v>
                </c:pt>
                <c:pt idx="1">
                  <c:v>-2.91795814259864</c:v>
                </c:pt>
                <c:pt idx="2">
                  <c:v>-0.562159127283524</c:v>
                </c:pt>
                <c:pt idx="3">
                  <c:v>1.741580837906706</c:v>
                </c:pt>
                <c:pt idx="4">
                  <c:v>3.951858191631544</c:v>
                </c:pt>
                <c:pt idx="5">
                  <c:v>6.057532754565718</c:v>
                </c:pt>
                <c:pt idx="6">
                  <c:v>7.979697658767834</c:v>
                </c:pt>
                <c:pt idx="7">
                  <c:v>9.558885745030041</c:v>
                </c:pt>
                <c:pt idx="8">
                  <c:v>10.67297865954778</c:v>
                </c:pt>
                <c:pt idx="9">
                  <c:v>11.11467745281171</c:v>
                </c:pt>
                <c:pt idx="10">
                  <c:v>10.70419881826598</c:v>
                </c:pt>
                <c:pt idx="11">
                  <c:v>9.00695687949929</c:v>
                </c:pt>
                <c:pt idx="12">
                  <c:v>6.062489300959376</c:v>
                </c:pt>
                <c:pt idx="13">
                  <c:v>3.366056242563943</c:v>
                </c:pt>
                <c:pt idx="14">
                  <c:v>1.163196777623549</c:v>
                </c:pt>
                <c:pt idx="15">
                  <c:v>-0.92551137357627</c:v>
                </c:pt>
                <c:pt idx="16">
                  <c:v>-3.099974828621222</c:v>
                </c:pt>
                <c:pt idx="17">
                  <c:v>-5.5871486201936</c:v>
                </c:pt>
                <c:pt idx="18">
                  <c:v>-8.649421576790617</c:v>
                </c:pt>
                <c:pt idx="19">
                  <c:v>-10.70901678857493</c:v>
                </c:pt>
                <c:pt idx="20">
                  <c:v>-11.73845182061583</c:v>
                </c:pt>
                <c:pt idx="21">
                  <c:v>-12.09844882662854</c:v>
                </c:pt>
                <c:pt idx="22">
                  <c:v>-11.95693111587238</c:v>
                </c:pt>
                <c:pt idx="23">
                  <c:v>-11.43987314156904</c:v>
                </c:pt>
                <c:pt idx="24">
                  <c:v>-10.63545279951744</c:v>
                </c:pt>
                <c:pt idx="25">
                  <c:v>-9.594405051344436</c:v>
                </c:pt>
                <c:pt idx="26">
                  <c:v>-8.357371270679133</c:v>
                </c:pt>
                <c:pt idx="27">
                  <c:v>-6.930690757204965</c:v>
                </c:pt>
                <c:pt idx="28">
                  <c:v>-5.356206287431524</c:v>
                </c:pt>
                <c:pt idx="29">
                  <c:v>-4.510861397087238</c:v>
                </c:pt>
              </c:numCache>
            </c:numRef>
          </c:yVal>
          <c:smooth val="1"/>
        </c:ser>
        <c:dLbls>
          <c:showLegendKey val="0"/>
          <c:showVal val="0"/>
          <c:showCatName val="0"/>
          <c:showSerName val="0"/>
          <c:showPercent val="0"/>
          <c:showBubbleSize val="0"/>
        </c:dLbls>
        <c:axId val="2111076888"/>
        <c:axId val="2111079912"/>
      </c:scatterChart>
      <c:valAx>
        <c:axId val="2111076888"/>
        <c:scaling>
          <c:orientation val="minMax"/>
        </c:scaling>
        <c:delete val="0"/>
        <c:axPos val="b"/>
        <c:numFmt formatCode="General" sourceLinked="1"/>
        <c:majorTickMark val="out"/>
        <c:minorTickMark val="none"/>
        <c:tickLblPos val="nextTo"/>
        <c:crossAx val="2111079912"/>
        <c:crosses val="autoZero"/>
        <c:crossBetween val="midCat"/>
      </c:valAx>
      <c:valAx>
        <c:axId val="2111079912"/>
        <c:scaling>
          <c:orientation val="minMax"/>
        </c:scaling>
        <c:delete val="0"/>
        <c:axPos val="l"/>
        <c:majorGridlines/>
        <c:numFmt formatCode="General" sourceLinked="1"/>
        <c:majorTickMark val="out"/>
        <c:minorTickMark val="none"/>
        <c:tickLblPos val="nextTo"/>
        <c:crossAx val="2111076888"/>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 numbers</a:t>
            </a:r>
          </a:p>
        </c:rich>
      </c:tx>
      <c:overlay val="1"/>
    </c:title>
    <c:autoTitleDeleted val="0"/>
    <c:plotArea>
      <c:layout>
        <c:manualLayout>
          <c:layoutTarget val="inner"/>
          <c:xMode val="edge"/>
          <c:yMode val="edge"/>
          <c:x val="0.0721545406824147"/>
          <c:y val="0.039400572110547"/>
          <c:w val="0.786578792650919"/>
          <c:h val="0.833957446309103"/>
        </c:manualLayout>
      </c:layout>
      <c:scatterChart>
        <c:scatterStyle val="smoothMarker"/>
        <c:varyColors val="0"/>
        <c:ser>
          <c:idx val="0"/>
          <c:order val="0"/>
          <c:tx>
            <c:v>Re min speed</c:v>
          </c:tx>
          <c:xVal>
            <c:numRef>
              <c:f>'Twist and Trim'!$F$3:$R$3</c:f>
              <c:numCache>
                <c:formatCode>General</c:formatCode>
                <c:ptCount val="13"/>
                <c:pt idx="0">
                  <c:v>0.0</c:v>
                </c:pt>
                <c:pt idx="1">
                  <c:v>0.0809320702811932</c:v>
                </c:pt>
                <c:pt idx="2">
                  <c:v>0.161864140562386</c:v>
                </c:pt>
                <c:pt idx="3">
                  <c:v>0.24279621084358</c:v>
                </c:pt>
                <c:pt idx="4">
                  <c:v>0.323728281124773</c:v>
                </c:pt>
                <c:pt idx="5">
                  <c:v>0.404660351405966</c:v>
                </c:pt>
                <c:pt idx="6">
                  <c:v>0.485592421687159</c:v>
                </c:pt>
                <c:pt idx="7">
                  <c:v>0.566524491968353</c:v>
                </c:pt>
                <c:pt idx="8">
                  <c:v>0.647456562249546</c:v>
                </c:pt>
                <c:pt idx="9">
                  <c:v>0.728388632530739</c:v>
                </c:pt>
                <c:pt idx="10">
                  <c:v>0.809320702811932</c:v>
                </c:pt>
                <c:pt idx="11">
                  <c:v>0.890252773093125</c:v>
                </c:pt>
                <c:pt idx="12">
                  <c:v>0.971184843374319</c:v>
                </c:pt>
              </c:numCache>
            </c:numRef>
          </c:xVal>
          <c:yVal>
            <c:numRef>
              <c:f>'Twist and Trim'!$F$51:$R$51</c:f>
              <c:numCache>
                <c:formatCode>General</c:formatCode>
                <c:ptCount val="13"/>
                <c:pt idx="0">
                  <c:v>0.513337482558179</c:v>
                </c:pt>
                <c:pt idx="1">
                  <c:v>0.424377140753225</c:v>
                </c:pt>
                <c:pt idx="2">
                  <c:v>0.361622356134101</c:v>
                </c:pt>
                <c:pt idx="3">
                  <c:v>0.317874364199488</c:v>
                </c:pt>
                <c:pt idx="4">
                  <c:v>0.292207490071579</c:v>
                </c:pt>
                <c:pt idx="5">
                  <c:v>0.26654061594367</c:v>
                </c:pt>
                <c:pt idx="6">
                  <c:v>0.240873741815761</c:v>
                </c:pt>
                <c:pt idx="7">
                  <c:v>0.215206867687852</c:v>
                </c:pt>
                <c:pt idx="8">
                  <c:v>0.189539993559943</c:v>
                </c:pt>
                <c:pt idx="9">
                  <c:v>0.163873119432034</c:v>
                </c:pt>
                <c:pt idx="10">
                  <c:v>0.138206245304125</c:v>
                </c:pt>
                <c:pt idx="11">
                  <c:v>0.112539371176216</c:v>
                </c:pt>
                <c:pt idx="12">
                  <c:v>0.0868724970483072</c:v>
                </c:pt>
              </c:numCache>
            </c:numRef>
          </c:yVal>
          <c:smooth val="1"/>
        </c:ser>
        <c:ser>
          <c:idx val="1"/>
          <c:order val="1"/>
          <c:tx>
            <c:v>Re trim speed</c:v>
          </c:tx>
          <c:xVal>
            <c:numRef>
              <c:f>'Twist and Trim'!$F$3:$R$3</c:f>
              <c:numCache>
                <c:formatCode>General</c:formatCode>
                <c:ptCount val="13"/>
                <c:pt idx="0">
                  <c:v>0.0</c:v>
                </c:pt>
                <c:pt idx="1">
                  <c:v>0.0809320702811932</c:v>
                </c:pt>
                <c:pt idx="2">
                  <c:v>0.161864140562386</c:v>
                </c:pt>
                <c:pt idx="3">
                  <c:v>0.24279621084358</c:v>
                </c:pt>
                <c:pt idx="4">
                  <c:v>0.323728281124773</c:v>
                </c:pt>
                <c:pt idx="5">
                  <c:v>0.404660351405966</c:v>
                </c:pt>
                <c:pt idx="6">
                  <c:v>0.485592421687159</c:v>
                </c:pt>
                <c:pt idx="7">
                  <c:v>0.566524491968353</c:v>
                </c:pt>
                <c:pt idx="8">
                  <c:v>0.647456562249546</c:v>
                </c:pt>
                <c:pt idx="9">
                  <c:v>0.728388632530739</c:v>
                </c:pt>
                <c:pt idx="10">
                  <c:v>0.809320702811932</c:v>
                </c:pt>
                <c:pt idx="11">
                  <c:v>0.890252773093125</c:v>
                </c:pt>
                <c:pt idx="12">
                  <c:v>0.971184843374319</c:v>
                </c:pt>
              </c:numCache>
            </c:numRef>
          </c:xVal>
          <c:yVal>
            <c:numRef>
              <c:f>'Twist and Trim'!$F$52:$R$52</c:f>
              <c:numCache>
                <c:formatCode>General</c:formatCode>
                <c:ptCount val="13"/>
                <c:pt idx="0">
                  <c:v>0.757367978678488</c:v>
                </c:pt>
                <c:pt idx="1">
                  <c:v>0.626117648155957</c:v>
                </c:pt>
                <c:pt idx="2">
                  <c:v>0.533530478907113</c:v>
                </c:pt>
                <c:pt idx="3">
                  <c:v>0.468985556027833</c:v>
                </c:pt>
                <c:pt idx="4">
                  <c:v>0.431117157093909</c:v>
                </c:pt>
                <c:pt idx="5">
                  <c:v>0.393248758159984</c:v>
                </c:pt>
                <c:pt idx="6">
                  <c:v>0.35538035922606</c:v>
                </c:pt>
                <c:pt idx="7">
                  <c:v>0.317511960292135</c:v>
                </c:pt>
                <c:pt idx="8">
                  <c:v>0.279643561358211</c:v>
                </c:pt>
                <c:pt idx="9">
                  <c:v>0.241775162424287</c:v>
                </c:pt>
                <c:pt idx="10">
                  <c:v>0.203906763490362</c:v>
                </c:pt>
                <c:pt idx="11">
                  <c:v>0.166038364556438</c:v>
                </c:pt>
                <c:pt idx="12">
                  <c:v>0.128169965622513</c:v>
                </c:pt>
              </c:numCache>
            </c:numRef>
          </c:yVal>
          <c:smooth val="1"/>
        </c:ser>
        <c:ser>
          <c:idx val="2"/>
          <c:order val="2"/>
          <c:tx>
            <c:v>Re max speed</c:v>
          </c:tx>
          <c:xVal>
            <c:numRef>
              <c:f>'Twist and Trim'!$F$3:$R$3</c:f>
              <c:numCache>
                <c:formatCode>General</c:formatCode>
                <c:ptCount val="13"/>
                <c:pt idx="0">
                  <c:v>0.0</c:v>
                </c:pt>
                <c:pt idx="1">
                  <c:v>0.0809320702811932</c:v>
                </c:pt>
                <c:pt idx="2">
                  <c:v>0.161864140562386</c:v>
                </c:pt>
                <c:pt idx="3">
                  <c:v>0.24279621084358</c:v>
                </c:pt>
                <c:pt idx="4">
                  <c:v>0.323728281124773</c:v>
                </c:pt>
                <c:pt idx="5">
                  <c:v>0.404660351405966</c:v>
                </c:pt>
                <c:pt idx="6">
                  <c:v>0.485592421687159</c:v>
                </c:pt>
                <c:pt idx="7">
                  <c:v>0.566524491968353</c:v>
                </c:pt>
                <c:pt idx="8">
                  <c:v>0.647456562249546</c:v>
                </c:pt>
                <c:pt idx="9">
                  <c:v>0.728388632530739</c:v>
                </c:pt>
                <c:pt idx="10">
                  <c:v>0.809320702811932</c:v>
                </c:pt>
                <c:pt idx="11">
                  <c:v>0.890252773093125</c:v>
                </c:pt>
                <c:pt idx="12">
                  <c:v>0.971184843374319</c:v>
                </c:pt>
              </c:numCache>
            </c:numRef>
          </c:xVal>
          <c:yVal>
            <c:numRef>
              <c:f>'Twist and Trim'!$F$53:$R$53</c:f>
              <c:numCache>
                <c:formatCode>General</c:formatCode>
                <c:ptCount val="13"/>
                <c:pt idx="0">
                  <c:v>1.623315653220803</c:v>
                </c:pt>
                <c:pt idx="1">
                  <c:v>1.341998351690054</c:v>
                </c:pt>
                <c:pt idx="2">
                  <c:v>1.143550298220323</c:v>
                </c:pt>
                <c:pt idx="3">
                  <c:v>1.005207000648267</c:v>
                </c:pt>
                <c:pt idx="4">
                  <c:v>0.924041217987227</c:v>
                </c:pt>
                <c:pt idx="5">
                  <c:v>0.842875435326186</c:v>
                </c:pt>
                <c:pt idx="6">
                  <c:v>0.761709652665146</c:v>
                </c:pt>
                <c:pt idx="7">
                  <c:v>0.680543870004106</c:v>
                </c:pt>
                <c:pt idx="8">
                  <c:v>0.599378087343066</c:v>
                </c:pt>
                <c:pt idx="9">
                  <c:v>0.518212304682026</c:v>
                </c:pt>
                <c:pt idx="10">
                  <c:v>0.437046522020986</c:v>
                </c:pt>
                <c:pt idx="11">
                  <c:v>0.355880739359945</c:v>
                </c:pt>
                <c:pt idx="12">
                  <c:v>0.274714956698905</c:v>
                </c:pt>
              </c:numCache>
            </c:numRef>
          </c:yVal>
          <c:smooth val="1"/>
        </c:ser>
        <c:dLbls>
          <c:showLegendKey val="0"/>
          <c:showVal val="0"/>
          <c:showCatName val="0"/>
          <c:showSerName val="0"/>
          <c:showPercent val="0"/>
          <c:showBubbleSize val="0"/>
        </c:dLbls>
        <c:axId val="2061652328"/>
        <c:axId val="2061657832"/>
      </c:scatterChart>
      <c:valAx>
        <c:axId val="2061652328"/>
        <c:scaling>
          <c:orientation val="minMax"/>
        </c:scaling>
        <c:delete val="0"/>
        <c:axPos val="b"/>
        <c:majorGridlines/>
        <c:title>
          <c:tx>
            <c:rich>
              <a:bodyPr/>
              <a:lstStyle/>
              <a:p>
                <a:pPr>
                  <a:defRPr/>
                </a:pPr>
                <a:r>
                  <a:rPr lang="en-US"/>
                  <a:t>Span position [m]</a:t>
                </a:r>
              </a:p>
            </c:rich>
          </c:tx>
          <c:layout>
            <c:manualLayout>
              <c:xMode val="edge"/>
              <c:yMode val="edge"/>
              <c:x val="0.343190551181102"/>
              <c:y val="0.825381376759413"/>
            </c:manualLayout>
          </c:layout>
          <c:overlay val="0"/>
        </c:title>
        <c:numFmt formatCode="General" sourceLinked="1"/>
        <c:majorTickMark val="out"/>
        <c:minorTickMark val="none"/>
        <c:tickLblPos val="nextTo"/>
        <c:crossAx val="2061657832"/>
        <c:crosses val="autoZero"/>
        <c:crossBetween val="midCat"/>
      </c:valAx>
      <c:valAx>
        <c:axId val="2061657832"/>
        <c:scaling>
          <c:orientation val="minMax"/>
        </c:scaling>
        <c:delete val="0"/>
        <c:axPos val="l"/>
        <c:majorGridlines/>
        <c:title>
          <c:tx>
            <c:rich>
              <a:bodyPr rot="-5400000" vert="horz"/>
              <a:lstStyle/>
              <a:p>
                <a:pPr>
                  <a:defRPr/>
                </a:pPr>
                <a:r>
                  <a:rPr lang="en-US"/>
                  <a:t>Re[ E+6]</a:t>
                </a:r>
              </a:p>
            </c:rich>
          </c:tx>
          <c:overlay val="0"/>
        </c:title>
        <c:numFmt formatCode="General" sourceLinked="1"/>
        <c:majorTickMark val="out"/>
        <c:minorTickMark val="none"/>
        <c:tickLblPos val="nextTo"/>
        <c:crossAx val="2061652328"/>
        <c:crosses val="autoZero"/>
        <c:crossBetween val="midCat"/>
      </c:valAx>
    </c:plotArea>
    <c:legend>
      <c:legendPos val="r"/>
      <c:overlay val="0"/>
    </c:legend>
    <c:plotVisOnly val="1"/>
    <c:dispBlanksAs val="gap"/>
    <c:showDLblsOverMax val="0"/>
  </c:chart>
  <c:printSettings>
    <c:headerFooter/>
    <c:pageMargins b="0.750000000000015" l="0.700000000000001" r="0.700000000000001" t="0.75000000000001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'12'!$N$2:$N$31</c:f>
              <c:numCache>
                <c:formatCode>General</c:formatCode>
                <c:ptCount val="30"/>
                <c:pt idx="0">
                  <c:v>779.5347544068066</c:v>
                </c:pt>
                <c:pt idx="1">
                  <c:v>772.3002953817122</c:v>
                </c:pt>
                <c:pt idx="2">
                  <c:v>757.39908584653</c:v>
                </c:pt>
                <c:pt idx="3">
                  <c:v>742.1666985620601</c:v>
                </c:pt>
                <c:pt idx="4">
                  <c:v>726.9216480078613</c:v>
                </c:pt>
                <c:pt idx="5">
                  <c:v>711.684943359455</c:v>
                </c:pt>
                <c:pt idx="6">
                  <c:v>696.4760696659705</c:v>
                </c:pt>
                <c:pt idx="7">
                  <c:v>681.3184441184384</c:v>
                </c:pt>
                <c:pt idx="8">
                  <c:v>666.2480565538057</c:v>
                </c:pt>
                <c:pt idx="9">
                  <c:v>651.324076029903</c:v>
                </c:pt>
                <c:pt idx="10">
                  <c:v>636.6827959034318</c:v>
                </c:pt>
                <c:pt idx="11">
                  <c:v>622.8254504438908</c:v>
                </c:pt>
                <c:pt idx="12">
                  <c:v>612.7916952909941</c:v>
                </c:pt>
                <c:pt idx="13">
                  <c:v>608.5394004744387</c:v>
                </c:pt>
                <c:pt idx="14">
                  <c:v>606.9051330156482</c:v>
                </c:pt>
                <c:pt idx="15">
                  <c:v>606.9384488362396</c:v>
                </c:pt>
                <c:pt idx="16">
                  <c:v>608.6394159276834</c:v>
                </c:pt>
                <c:pt idx="17">
                  <c:v>612.9654134983633</c:v>
                </c:pt>
                <c:pt idx="18">
                  <c:v>623.0847699127386</c:v>
                </c:pt>
                <c:pt idx="19">
                  <c:v>636.9980043611084</c:v>
                </c:pt>
                <c:pt idx="20">
                  <c:v>651.661857655817</c:v>
                </c:pt>
                <c:pt idx="21">
                  <c:v>666.585634205308</c:v>
                </c:pt>
                <c:pt idx="22">
                  <c:v>681.6394998425861</c:v>
                </c:pt>
                <c:pt idx="23">
                  <c:v>696.7685689724684</c:v>
                </c:pt>
                <c:pt idx="24">
                  <c:v>711.9397073997728</c:v>
                </c:pt>
                <c:pt idx="25">
                  <c:v>727.1314016946457</c:v>
                </c:pt>
                <c:pt idx="26">
                  <c:v>742.3251186885454</c:v>
                </c:pt>
                <c:pt idx="27">
                  <c:v>757.500393137716</c:v>
                </c:pt>
                <c:pt idx="28">
                  <c:v>772.3397984261275</c:v>
                </c:pt>
                <c:pt idx="29">
                  <c:v>779.5418935112191</c:v>
                </c:pt>
              </c:numCache>
            </c:numRef>
          </c:xVal>
          <c:yVal>
            <c:numRef>
              <c:f>'12'!$O$2:$O$31</c:f>
              <c:numCache>
                <c:formatCode>General</c:formatCode>
                <c:ptCount val="30"/>
                <c:pt idx="0">
                  <c:v>3.581716974838895</c:v>
                </c:pt>
                <c:pt idx="1">
                  <c:v>4.262424449447472</c:v>
                </c:pt>
                <c:pt idx="2">
                  <c:v>5.540982106340606</c:v>
                </c:pt>
                <c:pt idx="3">
                  <c:v>6.693715290940481</c:v>
                </c:pt>
                <c:pt idx="4">
                  <c:v>7.699225466276838</c:v>
                </c:pt>
                <c:pt idx="5">
                  <c:v>8.544093178837967</c:v>
                </c:pt>
                <c:pt idx="6">
                  <c:v>9.204494361850056</c:v>
                </c:pt>
                <c:pt idx="7">
                  <c:v>9.63247486094998</c:v>
                </c:pt>
                <c:pt idx="8">
                  <c:v>9.756120445749484</c:v>
                </c:pt>
                <c:pt idx="9">
                  <c:v>9.46766177760467</c:v>
                </c:pt>
                <c:pt idx="10">
                  <c:v>8.605515694573473</c:v>
                </c:pt>
                <c:pt idx="11">
                  <c:v>6.911533410915876</c:v>
                </c:pt>
                <c:pt idx="12">
                  <c:v>4.537166060601916</c:v>
                </c:pt>
                <c:pt idx="13">
                  <c:v>2.57914860865033</c:v>
                </c:pt>
                <c:pt idx="14">
                  <c:v>0.850741486561136</c:v>
                </c:pt>
                <c:pt idx="15">
                  <c:v>-0.843124968486708</c:v>
                </c:pt>
                <c:pt idx="16">
                  <c:v>-2.505907626809629</c:v>
                </c:pt>
                <c:pt idx="17">
                  <c:v>-4.295137597861845</c:v>
                </c:pt>
                <c:pt idx="18">
                  <c:v>-6.272969975925919</c:v>
                </c:pt>
                <c:pt idx="19">
                  <c:v>-7.420535092368993</c:v>
                </c:pt>
                <c:pt idx="20">
                  <c:v>-7.70606995439062</c:v>
                </c:pt>
                <c:pt idx="21">
                  <c:v>-7.407240675296532</c:v>
                </c:pt>
                <c:pt idx="22">
                  <c:v>-6.690866773204964</c:v>
                </c:pt>
                <c:pt idx="23">
                  <c:v>-5.666961739406736</c:v>
                </c:pt>
                <c:pt idx="24">
                  <c:v>-4.40879989680341</c:v>
                </c:pt>
                <c:pt idx="25">
                  <c:v>-2.965219459891735</c:v>
                </c:pt>
                <c:pt idx="26">
                  <c:v>-1.360792546327842</c:v>
                </c:pt>
                <c:pt idx="27">
                  <c:v>0.39024533486859</c:v>
                </c:pt>
                <c:pt idx="28">
                  <c:v>2.253982795605027</c:v>
                </c:pt>
                <c:pt idx="29">
                  <c:v>3.218745591614357</c:v>
                </c:pt>
              </c:numCache>
            </c:numRef>
          </c:yVal>
          <c:smooth val="1"/>
        </c:ser>
        <c:dLbls>
          <c:showLegendKey val="0"/>
          <c:showVal val="0"/>
          <c:showCatName val="0"/>
          <c:showSerName val="0"/>
          <c:showPercent val="0"/>
          <c:showBubbleSize val="0"/>
        </c:dLbls>
        <c:axId val="2111118040"/>
        <c:axId val="2111121064"/>
      </c:scatterChart>
      <c:valAx>
        <c:axId val="2111118040"/>
        <c:scaling>
          <c:orientation val="minMax"/>
        </c:scaling>
        <c:delete val="0"/>
        <c:axPos val="b"/>
        <c:numFmt formatCode="General" sourceLinked="1"/>
        <c:majorTickMark val="out"/>
        <c:minorTickMark val="none"/>
        <c:tickLblPos val="nextTo"/>
        <c:crossAx val="2111121064"/>
        <c:crosses val="autoZero"/>
        <c:crossBetween val="midCat"/>
      </c:valAx>
      <c:valAx>
        <c:axId val="2111121064"/>
        <c:scaling>
          <c:orientation val="minMax"/>
        </c:scaling>
        <c:delete val="0"/>
        <c:axPos val="l"/>
        <c:majorGridlines/>
        <c:numFmt formatCode="General" sourceLinked="1"/>
        <c:majorTickMark val="out"/>
        <c:minorTickMark val="none"/>
        <c:tickLblPos val="nextTo"/>
        <c:crossAx val="2111118040"/>
        <c:crosses val="autoZero"/>
        <c:crossBetween val="midCat"/>
      </c:valAx>
    </c:plotArea>
    <c:plotVisOnly val="1"/>
    <c:dispBlanksAs val="gap"/>
    <c:showDLblsOverMax val="0"/>
  </c:chart>
  <c:printSettings>
    <c:headerFooter/>
    <c:pageMargins b="0.750000000000006" l="0.700000000000001" r="0.700000000000001" t="0.750000000000006"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Tip!$N$2:$N$31</c:f>
              <c:numCache>
                <c:formatCode>General</c:formatCode>
                <c:ptCount val="30"/>
                <c:pt idx="0">
                  <c:v>795.2699013682055</c:v>
                </c:pt>
                <c:pt idx="1">
                  <c:v>789.6402779473066</c:v>
                </c:pt>
                <c:pt idx="2">
                  <c:v>778.0514091707993</c:v>
                </c:pt>
                <c:pt idx="3">
                  <c:v>766.2134361827749</c:v>
                </c:pt>
                <c:pt idx="4">
                  <c:v>754.373746741824</c:v>
                </c:pt>
                <c:pt idx="5">
                  <c:v>742.5493169232531</c:v>
                </c:pt>
                <c:pt idx="6">
                  <c:v>730.7565151333496</c:v>
                </c:pt>
                <c:pt idx="7">
                  <c:v>719.0160724317396</c:v>
                </c:pt>
                <c:pt idx="8">
                  <c:v>707.3597523941373</c:v>
                </c:pt>
                <c:pt idx="9">
                  <c:v>695.8392023017636</c:v>
                </c:pt>
                <c:pt idx="10">
                  <c:v>684.5686378468652</c:v>
                </c:pt>
                <c:pt idx="11">
                  <c:v>673.9496719924698</c:v>
                </c:pt>
                <c:pt idx="12">
                  <c:v>666.323680745144</c:v>
                </c:pt>
                <c:pt idx="13">
                  <c:v>663.1439797143188</c:v>
                </c:pt>
                <c:pt idx="14">
                  <c:v>661.9754468310189</c:v>
                </c:pt>
                <c:pt idx="15">
                  <c:v>662.0940764077472</c:v>
                </c:pt>
                <c:pt idx="16">
                  <c:v>663.500110545681</c:v>
                </c:pt>
                <c:pt idx="17">
                  <c:v>666.9422492523706</c:v>
                </c:pt>
                <c:pt idx="18">
                  <c:v>674.8730458815354</c:v>
                </c:pt>
                <c:pt idx="19">
                  <c:v>685.6910189034221</c:v>
                </c:pt>
                <c:pt idx="20">
                  <c:v>697.0419609490834</c:v>
                </c:pt>
                <c:pt idx="21">
                  <c:v>708.5617847379261</c:v>
                </c:pt>
                <c:pt idx="22">
                  <c:v>720.1592741895182</c:v>
                </c:pt>
                <c:pt idx="23">
                  <c:v>731.7980343967894</c:v>
                </c:pt>
                <c:pt idx="24">
                  <c:v>743.4564700334598</c:v>
                </c:pt>
                <c:pt idx="25">
                  <c:v>755.1206288728589</c:v>
                </c:pt>
                <c:pt idx="26">
                  <c:v>766.777531925177</c:v>
                </c:pt>
                <c:pt idx="27">
                  <c:v>778.4121399245244</c:v>
                </c:pt>
                <c:pt idx="28">
                  <c:v>789.7809387311418</c:v>
                </c:pt>
                <c:pt idx="29">
                  <c:v>795.2953219917901</c:v>
                </c:pt>
              </c:numCache>
            </c:numRef>
          </c:xVal>
          <c:yVal>
            <c:numRef>
              <c:f>Tip!$O$2:$O$31</c:f>
              <c:numCache>
                <c:formatCode>General</c:formatCode>
                <c:ptCount val="30"/>
                <c:pt idx="0">
                  <c:v>12.24512596757208</c:v>
                </c:pt>
                <c:pt idx="1">
                  <c:v>12.37446859314872</c:v>
                </c:pt>
                <c:pt idx="2">
                  <c:v>12.54540932694483</c:v>
                </c:pt>
                <c:pt idx="3">
                  <c:v>12.60094319122029</c:v>
                </c:pt>
                <c:pt idx="4">
                  <c:v>12.54199993346098</c:v>
                </c:pt>
                <c:pt idx="5">
                  <c:v>12.35936038033001</c:v>
                </c:pt>
                <c:pt idx="6">
                  <c:v>12.03568047260278</c:v>
                </c:pt>
                <c:pt idx="7">
                  <c:v>11.53518263653364</c:v>
                </c:pt>
                <c:pt idx="8">
                  <c:v>10.80426103679835</c:v>
                </c:pt>
                <c:pt idx="9">
                  <c:v>9.762870072176051</c:v>
                </c:pt>
                <c:pt idx="10">
                  <c:v>8.293603245744225</c:v>
                </c:pt>
                <c:pt idx="11">
                  <c:v>6.224436331173298</c:v>
                </c:pt>
                <c:pt idx="12">
                  <c:v>3.839118909363077</c:v>
                </c:pt>
                <c:pt idx="13">
                  <c:v>2.092645104659733</c:v>
                </c:pt>
                <c:pt idx="14">
                  <c:v>0.667204215344194</c:v>
                </c:pt>
                <c:pt idx="15">
                  <c:v>-0.64008888352056</c:v>
                </c:pt>
                <c:pt idx="16">
                  <c:v>-1.831902137034253</c:v>
                </c:pt>
                <c:pt idx="17">
                  <c:v>-2.97748082043171</c:v>
                </c:pt>
                <c:pt idx="18">
                  <c:v>-3.95110627917399</c:v>
                </c:pt>
                <c:pt idx="19">
                  <c:v>-4.07499023657618</c:v>
                </c:pt>
                <c:pt idx="20">
                  <c:v>-3.49148118325272</c:v>
                </c:pt>
                <c:pt idx="21">
                  <c:v>-2.442086383331246</c:v>
                </c:pt>
                <c:pt idx="22">
                  <c:v>-1.062854124363027</c:v>
                </c:pt>
                <c:pt idx="23">
                  <c:v>0.55818065359019</c:v>
                </c:pt>
                <c:pt idx="24">
                  <c:v>2.36257009166423</c:v>
                </c:pt>
                <c:pt idx="25">
                  <c:v>4.311389300812483</c:v>
                </c:pt>
                <c:pt idx="26">
                  <c:v>6.384631108863395</c:v>
                </c:pt>
                <c:pt idx="27">
                  <c:v>8.57017112835609</c:v>
                </c:pt>
                <c:pt idx="28">
                  <c:v>10.82439249020908</c:v>
                </c:pt>
                <c:pt idx="29">
                  <c:v>11.96499173210106</c:v>
                </c:pt>
              </c:numCache>
            </c:numRef>
          </c:yVal>
          <c:smooth val="1"/>
        </c:ser>
        <c:dLbls>
          <c:showLegendKey val="0"/>
          <c:showVal val="0"/>
          <c:showCatName val="0"/>
          <c:showSerName val="0"/>
          <c:showPercent val="0"/>
          <c:showBubbleSize val="0"/>
        </c:dLbls>
        <c:axId val="2111155032"/>
        <c:axId val="2111158056"/>
      </c:scatterChart>
      <c:valAx>
        <c:axId val="2111155032"/>
        <c:scaling>
          <c:orientation val="minMax"/>
        </c:scaling>
        <c:delete val="0"/>
        <c:axPos val="b"/>
        <c:numFmt formatCode="General" sourceLinked="1"/>
        <c:majorTickMark val="out"/>
        <c:minorTickMark val="none"/>
        <c:tickLblPos val="nextTo"/>
        <c:crossAx val="2111158056"/>
        <c:crosses val="autoZero"/>
        <c:crossBetween val="midCat"/>
      </c:valAx>
      <c:valAx>
        <c:axId val="2111158056"/>
        <c:scaling>
          <c:orientation val="minMax"/>
        </c:scaling>
        <c:delete val="0"/>
        <c:axPos val="l"/>
        <c:majorGridlines/>
        <c:numFmt formatCode="General" sourceLinked="1"/>
        <c:majorTickMark val="out"/>
        <c:minorTickMark val="none"/>
        <c:tickLblPos val="nextTo"/>
        <c:crossAx val="2111155032"/>
        <c:crosses val="autoZero"/>
        <c:crossBetween val="midCat"/>
      </c:valAx>
    </c:plotArea>
    <c:plotVisOnly val="1"/>
    <c:dispBlanksAs val="gap"/>
    <c:showDLblsOverMax val="0"/>
  </c:chart>
  <c:printSettings>
    <c:headerFooter/>
    <c:pageMargins b="0.750000000000006" l="0.700000000000001" r="0.700000000000001" t="0.75000000000000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Gamma</a:t>
            </a:r>
          </a:p>
        </c:rich>
      </c:tx>
      <c:layout/>
      <c:overlay val="1"/>
    </c:title>
    <c:autoTitleDeleted val="0"/>
    <c:plotArea>
      <c:layout/>
      <c:scatterChart>
        <c:scatterStyle val="smoothMarker"/>
        <c:varyColors val="0"/>
        <c:ser>
          <c:idx val="0"/>
          <c:order val="0"/>
          <c:tx>
            <c:v>Gamma</c:v>
          </c:tx>
          <c:xVal>
            <c:numRef>
              <c:f>'Twist and Trim'!$F$3:$R$3</c:f>
              <c:numCache>
                <c:formatCode>General</c:formatCode>
                <c:ptCount val="13"/>
                <c:pt idx="0">
                  <c:v>0.0</c:v>
                </c:pt>
                <c:pt idx="1">
                  <c:v>0.0809320702811932</c:v>
                </c:pt>
                <c:pt idx="2">
                  <c:v>0.161864140562386</c:v>
                </c:pt>
                <c:pt idx="3">
                  <c:v>0.24279621084358</c:v>
                </c:pt>
                <c:pt idx="4">
                  <c:v>0.323728281124773</c:v>
                </c:pt>
                <c:pt idx="5">
                  <c:v>0.404660351405966</c:v>
                </c:pt>
                <c:pt idx="6">
                  <c:v>0.485592421687159</c:v>
                </c:pt>
                <c:pt idx="7">
                  <c:v>0.566524491968353</c:v>
                </c:pt>
                <c:pt idx="8">
                  <c:v>0.647456562249546</c:v>
                </c:pt>
                <c:pt idx="9">
                  <c:v>0.728388632530739</c:v>
                </c:pt>
                <c:pt idx="10">
                  <c:v>0.809320702811932</c:v>
                </c:pt>
                <c:pt idx="11">
                  <c:v>0.890252773093125</c:v>
                </c:pt>
                <c:pt idx="12">
                  <c:v>0.971184843374319</c:v>
                </c:pt>
              </c:numCache>
            </c:numRef>
          </c:xVal>
          <c:yVal>
            <c:numRef>
              <c:f>'Twist and Trim'!$F$24:$R$24</c:f>
              <c:numCache>
                <c:formatCode>General</c:formatCode>
                <c:ptCount val="13"/>
                <c:pt idx="0">
                  <c:v>2.358920928844348</c:v>
                </c:pt>
                <c:pt idx="1">
                  <c:v>2.334391545223143</c:v>
                </c:pt>
                <c:pt idx="2">
                  <c:v>2.26131830832098</c:v>
                </c:pt>
                <c:pt idx="3">
                  <c:v>2.141264407601787</c:v>
                </c:pt>
                <c:pt idx="4">
                  <c:v>1.97689953785921</c:v>
                </c:pt>
                <c:pt idx="5">
                  <c:v>1.772107597430727</c:v>
                </c:pt>
                <c:pt idx="6">
                  <c:v>1.532164087423492</c:v>
                </c:pt>
                <c:pt idx="7">
                  <c:v>1.264023223996297</c:v>
                </c:pt>
                <c:pt idx="8">
                  <c:v>0.976797694526464</c:v>
                </c:pt>
                <c:pt idx="9">
                  <c:v>0.682622296583023</c:v>
                </c:pt>
                <c:pt idx="10">
                  <c:v>0.398426907139013</c:v>
                </c:pt>
                <c:pt idx="11">
                  <c:v>0.15057795664684</c:v>
                </c:pt>
                <c:pt idx="12">
                  <c:v>0.0</c:v>
                </c:pt>
              </c:numCache>
            </c:numRef>
          </c:yVal>
          <c:smooth val="1"/>
        </c:ser>
        <c:dLbls>
          <c:showLegendKey val="0"/>
          <c:showVal val="0"/>
          <c:showCatName val="0"/>
          <c:showSerName val="0"/>
          <c:showPercent val="0"/>
          <c:showBubbleSize val="0"/>
        </c:dLbls>
        <c:axId val="2110270584"/>
        <c:axId val="2110276104"/>
      </c:scatterChart>
      <c:valAx>
        <c:axId val="2110270584"/>
        <c:scaling>
          <c:orientation val="minMax"/>
        </c:scaling>
        <c:delete val="0"/>
        <c:axPos val="b"/>
        <c:majorGridlines/>
        <c:title>
          <c:tx>
            <c:rich>
              <a:bodyPr/>
              <a:lstStyle/>
              <a:p>
                <a:pPr>
                  <a:defRPr/>
                </a:pPr>
                <a:r>
                  <a:rPr lang="en-US"/>
                  <a:t>Span position [m]</a:t>
                </a:r>
              </a:p>
            </c:rich>
          </c:tx>
          <c:layout>
            <c:manualLayout>
              <c:xMode val="edge"/>
              <c:yMode val="edge"/>
              <c:x val="0.451946306850361"/>
              <c:y val="0.888852777777778"/>
            </c:manualLayout>
          </c:layout>
          <c:overlay val="0"/>
        </c:title>
        <c:numFmt formatCode="General" sourceLinked="1"/>
        <c:majorTickMark val="out"/>
        <c:minorTickMark val="none"/>
        <c:tickLblPos val="nextTo"/>
        <c:crossAx val="2110276104"/>
        <c:crosses val="autoZero"/>
        <c:crossBetween val="midCat"/>
      </c:valAx>
      <c:valAx>
        <c:axId val="2110276104"/>
        <c:scaling>
          <c:orientation val="minMax"/>
        </c:scaling>
        <c:delete val="0"/>
        <c:axPos val="l"/>
        <c:majorGridlines/>
        <c:title>
          <c:tx>
            <c:rich>
              <a:bodyPr rot="-5400000" vert="horz"/>
              <a:lstStyle/>
              <a:p>
                <a:pPr>
                  <a:defRPr/>
                </a:pPr>
                <a:r>
                  <a:rPr lang="en-US"/>
                  <a:t>Gamma</a:t>
                </a:r>
              </a:p>
            </c:rich>
          </c:tx>
          <c:layout/>
          <c:overlay val="0"/>
        </c:title>
        <c:numFmt formatCode="General" sourceLinked="1"/>
        <c:majorTickMark val="out"/>
        <c:minorTickMark val="none"/>
        <c:tickLblPos val="nextTo"/>
        <c:crossAx val="2110270584"/>
        <c:crosses val="autoZero"/>
        <c:crossBetween val="midCat"/>
      </c:valAx>
    </c:plotArea>
    <c:plotVisOnly val="1"/>
    <c:dispBlanksAs val="gap"/>
    <c:showDLblsOverMax val="0"/>
  </c:chart>
  <c:printSettings>
    <c:headerFooter/>
    <c:pageMargins b="0.750000000000015" l="0.700000000000001" r="0.700000000000001" t="0.75000000000001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Cl</a:t>
            </a:r>
          </a:p>
        </c:rich>
      </c:tx>
      <c:layout/>
      <c:overlay val="1"/>
    </c:title>
    <c:autoTitleDeleted val="0"/>
    <c:plotArea>
      <c:layout>
        <c:manualLayout>
          <c:layoutTarget val="inner"/>
          <c:xMode val="edge"/>
          <c:yMode val="edge"/>
          <c:x val="0.0816118008422777"/>
          <c:y val="0.11074666280212"/>
          <c:w val="0.887941473695514"/>
          <c:h val="0.725442893257975"/>
        </c:manualLayout>
      </c:layout>
      <c:scatterChart>
        <c:scatterStyle val="smoothMarker"/>
        <c:varyColors val="0"/>
        <c:ser>
          <c:idx val="0"/>
          <c:order val="0"/>
          <c:tx>
            <c:v>Cl</c:v>
          </c:tx>
          <c:xVal>
            <c:numRef>
              <c:f>'Twist and Trim'!$F$3:$R$3</c:f>
              <c:numCache>
                <c:formatCode>General</c:formatCode>
                <c:ptCount val="13"/>
                <c:pt idx="0">
                  <c:v>0.0</c:v>
                </c:pt>
                <c:pt idx="1">
                  <c:v>0.0809320702811932</c:v>
                </c:pt>
                <c:pt idx="2">
                  <c:v>0.161864140562386</c:v>
                </c:pt>
                <c:pt idx="3">
                  <c:v>0.24279621084358</c:v>
                </c:pt>
                <c:pt idx="4">
                  <c:v>0.323728281124773</c:v>
                </c:pt>
                <c:pt idx="5">
                  <c:v>0.404660351405966</c:v>
                </c:pt>
                <c:pt idx="6">
                  <c:v>0.485592421687159</c:v>
                </c:pt>
                <c:pt idx="7">
                  <c:v>0.566524491968353</c:v>
                </c:pt>
                <c:pt idx="8">
                  <c:v>0.647456562249546</c:v>
                </c:pt>
                <c:pt idx="9">
                  <c:v>0.728388632530739</c:v>
                </c:pt>
                <c:pt idx="10">
                  <c:v>0.809320702811932</c:v>
                </c:pt>
                <c:pt idx="11">
                  <c:v>0.890252773093125</c:v>
                </c:pt>
                <c:pt idx="12">
                  <c:v>0.971184843374319</c:v>
                </c:pt>
              </c:numCache>
            </c:numRef>
          </c:xVal>
          <c:yVal>
            <c:numRef>
              <c:f>'Twist and Trim'!$F$45:$R$45</c:f>
              <c:numCache>
                <c:formatCode>General</c:formatCode>
                <c:ptCount val="13"/>
                <c:pt idx="0">
                  <c:v>0.41676205113846</c:v>
                </c:pt>
                <c:pt idx="1">
                  <c:v>0.4988838888574</c:v>
                </c:pt>
                <c:pt idx="2">
                  <c:v>0.567132044950475</c:v>
                </c:pt>
                <c:pt idx="3">
                  <c:v>0.610931549419929</c:v>
                </c:pt>
                <c:pt idx="4">
                  <c:v>0.613579746549086</c:v>
                </c:pt>
                <c:pt idx="5">
                  <c:v>0.602982142006346</c:v>
                </c:pt>
                <c:pt idx="6">
                  <c:v>0.57689075496514</c:v>
                </c:pt>
                <c:pt idx="7">
                  <c:v>0.532692628048722</c:v>
                </c:pt>
                <c:pt idx="8">
                  <c:v>0.467392268450691</c:v>
                </c:pt>
                <c:pt idx="9">
                  <c:v>0.377790043792699</c:v>
                </c:pt>
                <c:pt idx="10">
                  <c:v>0.261456083491245</c:v>
                </c:pt>
                <c:pt idx="11">
                  <c:v>0.121348573381359</c:v>
                </c:pt>
                <c:pt idx="12">
                  <c:v>0.0</c:v>
                </c:pt>
              </c:numCache>
            </c:numRef>
          </c:yVal>
          <c:smooth val="1"/>
        </c:ser>
        <c:dLbls>
          <c:showLegendKey val="0"/>
          <c:showVal val="0"/>
          <c:showCatName val="0"/>
          <c:showSerName val="0"/>
          <c:showPercent val="0"/>
          <c:showBubbleSize val="0"/>
        </c:dLbls>
        <c:axId val="2110304184"/>
        <c:axId val="2110309704"/>
      </c:scatterChart>
      <c:valAx>
        <c:axId val="2110304184"/>
        <c:scaling>
          <c:orientation val="minMax"/>
        </c:scaling>
        <c:delete val="0"/>
        <c:axPos val="b"/>
        <c:majorGridlines/>
        <c:title>
          <c:tx>
            <c:rich>
              <a:bodyPr/>
              <a:lstStyle/>
              <a:p>
                <a:pPr>
                  <a:defRPr/>
                </a:pPr>
                <a:r>
                  <a:rPr lang="en-US"/>
                  <a:t>Span position [m]</a:t>
                </a:r>
              </a:p>
            </c:rich>
          </c:tx>
          <c:layout>
            <c:manualLayout>
              <c:xMode val="edge"/>
              <c:yMode val="edge"/>
              <c:x val="0.453529318014009"/>
              <c:y val="0.932907706531363"/>
            </c:manualLayout>
          </c:layout>
          <c:overlay val="0"/>
        </c:title>
        <c:numFmt formatCode="General" sourceLinked="1"/>
        <c:majorTickMark val="out"/>
        <c:minorTickMark val="none"/>
        <c:tickLblPos val="nextTo"/>
        <c:crossAx val="2110309704"/>
        <c:crosses val="autoZero"/>
        <c:crossBetween val="midCat"/>
      </c:valAx>
      <c:valAx>
        <c:axId val="2110309704"/>
        <c:scaling>
          <c:orientation val="minMax"/>
        </c:scaling>
        <c:delete val="0"/>
        <c:axPos val="l"/>
        <c:majorGridlines/>
        <c:title>
          <c:tx>
            <c:rich>
              <a:bodyPr rot="-5400000" vert="horz"/>
              <a:lstStyle/>
              <a:p>
                <a:pPr>
                  <a:defRPr/>
                </a:pPr>
                <a:r>
                  <a:rPr lang="en-US" b="0"/>
                  <a:t>Cl</a:t>
                </a:r>
              </a:p>
            </c:rich>
          </c:tx>
          <c:layout/>
          <c:overlay val="0"/>
        </c:title>
        <c:numFmt formatCode="General" sourceLinked="1"/>
        <c:majorTickMark val="out"/>
        <c:minorTickMark val="none"/>
        <c:tickLblPos val="nextTo"/>
        <c:crossAx val="2110304184"/>
        <c:crosses val="autoZero"/>
        <c:crossBetween val="midCat"/>
      </c:valAx>
    </c:plotArea>
    <c:plotVisOnly val="1"/>
    <c:dispBlanksAs val="gap"/>
    <c:showDLblsOverMax val="0"/>
  </c:chart>
  <c:printSettings>
    <c:headerFooter/>
    <c:pageMargins b="0.750000000000015" l="0.700000000000001" r="0.700000000000001" t="0.75000000000001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Twist</a:t>
            </a:r>
          </a:p>
        </c:rich>
      </c:tx>
      <c:overlay val="1"/>
    </c:title>
    <c:autoTitleDeleted val="0"/>
    <c:plotArea>
      <c:layout>
        <c:manualLayout>
          <c:layoutTarget val="inner"/>
          <c:xMode val="edge"/>
          <c:yMode val="edge"/>
          <c:x val="0.0621148998502699"/>
          <c:y val="0.0295718750000003"/>
          <c:w val="0.787791385218447"/>
          <c:h val="0.888379513888895"/>
        </c:manualLayout>
      </c:layout>
      <c:scatterChart>
        <c:scatterStyle val="smoothMarker"/>
        <c:varyColors val="0"/>
        <c:ser>
          <c:idx val="0"/>
          <c:order val="0"/>
          <c:tx>
            <c:v>Total twist</c:v>
          </c:tx>
          <c:xVal>
            <c:numRef>
              <c:f>'Twist and Trim'!$F$20:$R$20</c:f>
              <c:numCache>
                <c:formatCode>General</c:formatCode>
                <c:ptCount val="13"/>
                <c:pt idx="0">
                  <c:v>0.0</c:v>
                </c:pt>
                <c:pt idx="1">
                  <c:v>0.0809320702811932</c:v>
                </c:pt>
                <c:pt idx="2">
                  <c:v>0.161864140562386</c:v>
                </c:pt>
                <c:pt idx="3">
                  <c:v>0.24279621084358</c:v>
                </c:pt>
                <c:pt idx="4">
                  <c:v>0.323728281124773</c:v>
                </c:pt>
                <c:pt idx="5">
                  <c:v>0.404660351405966</c:v>
                </c:pt>
                <c:pt idx="6">
                  <c:v>0.485592421687159</c:v>
                </c:pt>
                <c:pt idx="7">
                  <c:v>0.566524491968353</c:v>
                </c:pt>
                <c:pt idx="8">
                  <c:v>0.647456562249546</c:v>
                </c:pt>
                <c:pt idx="9">
                  <c:v>0.728388632530739</c:v>
                </c:pt>
                <c:pt idx="10">
                  <c:v>0.809320702811932</c:v>
                </c:pt>
                <c:pt idx="11">
                  <c:v>0.890252773093125</c:v>
                </c:pt>
                <c:pt idx="12">
                  <c:v>0.971184843374319</c:v>
                </c:pt>
              </c:numCache>
            </c:numRef>
          </c:xVal>
          <c:yVal>
            <c:numRef>
              <c:f>'Twist and Trim'!$F$46:$R$46</c:f>
              <c:numCache>
                <c:formatCode>General</c:formatCode>
                <c:ptCount val="13"/>
                <c:pt idx="0">
                  <c:v>7.495322598527222</c:v>
                </c:pt>
                <c:pt idx="1">
                  <c:v>8.270424505453068</c:v>
                </c:pt>
                <c:pt idx="2">
                  <c:v>8.81453137651854</c:v>
                </c:pt>
                <c:pt idx="3">
                  <c:v>9.021821226038575</c:v>
                </c:pt>
                <c:pt idx="4">
                  <c:v>8.725158884817066</c:v>
                </c:pt>
                <c:pt idx="5">
                  <c:v>8.203472350724821</c:v>
                </c:pt>
                <c:pt idx="6">
                  <c:v>7.434161483026184</c:v>
                </c:pt>
                <c:pt idx="7">
                  <c:v>6.391015651754256</c:v>
                </c:pt>
                <c:pt idx="8">
                  <c:v>5.044078097777652</c:v>
                </c:pt>
                <c:pt idx="9">
                  <c:v>3.361477135303359</c:v>
                </c:pt>
                <c:pt idx="10">
                  <c:v>1.319219395487598</c:v>
                </c:pt>
                <c:pt idx="11">
                  <c:v>-1.052566616611027</c:v>
                </c:pt>
                <c:pt idx="12">
                  <c:v>-3.327702087142622</c:v>
                </c:pt>
              </c:numCache>
            </c:numRef>
          </c:yVal>
          <c:smooth val="1"/>
        </c:ser>
        <c:ser>
          <c:idx val="1"/>
          <c:order val="1"/>
          <c:tx>
            <c:v>Geom. twist</c:v>
          </c:tx>
          <c:xVal>
            <c:numRef>
              <c:f>'Twist and Trim'!$F$20:$R$20</c:f>
              <c:numCache>
                <c:formatCode>General</c:formatCode>
                <c:ptCount val="13"/>
                <c:pt idx="0">
                  <c:v>0.0</c:v>
                </c:pt>
                <c:pt idx="1">
                  <c:v>0.0809320702811932</c:v>
                </c:pt>
                <c:pt idx="2">
                  <c:v>0.161864140562386</c:v>
                </c:pt>
                <c:pt idx="3">
                  <c:v>0.24279621084358</c:v>
                </c:pt>
                <c:pt idx="4">
                  <c:v>0.323728281124773</c:v>
                </c:pt>
                <c:pt idx="5">
                  <c:v>0.404660351405966</c:v>
                </c:pt>
                <c:pt idx="6">
                  <c:v>0.485592421687159</c:v>
                </c:pt>
                <c:pt idx="7">
                  <c:v>0.566524491968353</c:v>
                </c:pt>
                <c:pt idx="8">
                  <c:v>0.647456562249546</c:v>
                </c:pt>
                <c:pt idx="9">
                  <c:v>0.728388632530739</c:v>
                </c:pt>
                <c:pt idx="10">
                  <c:v>0.809320702811932</c:v>
                </c:pt>
                <c:pt idx="11">
                  <c:v>0.890252773093125</c:v>
                </c:pt>
                <c:pt idx="12">
                  <c:v>0.971184843374319</c:v>
                </c:pt>
              </c:numCache>
            </c:numRef>
          </c:xVal>
          <c:yVal>
            <c:numRef>
              <c:f>'Twist and Trim'!$F$48:$R$48</c:f>
              <c:numCache>
                <c:formatCode>General</c:formatCode>
                <c:ptCount val="13"/>
                <c:pt idx="0">
                  <c:v>6.595322598527222</c:v>
                </c:pt>
                <c:pt idx="1">
                  <c:v>7.445424505453067</c:v>
                </c:pt>
                <c:pt idx="2">
                  <c:v>8.06453137651854</c:v>
                </c:pt>
                <c:pt idx="3">
                  <c:v>8.346821226038575</c:v>
                </c:pt>
                <c:pt idx="4">
                  <c:v>8.125158884817067</c:v>
                </c:pt>
                <c:pt idx="5">
                  <c:v>7.67847235072482</c:v>
                </c:pt>
                <c:pt idx="6">
                  <c:v>6.984161483026184</c:v>
                </c:pt>
                <c:pt idx="7">
                  <c:v>6.016015651754256</c:v>
                </c:pt>
                <c:pt idx="8">
                  <c:v>4.744078097777652</c:v>
                </c:pt>
                <c:pt idx="9">
                  <c:v>3.136477135303358</c:v>
                </c:pt>
                <c:pt idx="10">
                  <c:v>1.169219395487598</c:v>
                </c:pt>
                <c:pt idx="11">
                  <c:v>-1.127566616611027</c:v>
                </c:pt>
                <c:pt idx="12">
                  <c:v>-5.187702087142622</c:v>
                </c:pt>
              </c:numCache>
            </c:numRef>
          </c:yVal>
          <c:smooth val="1"/>
        </c:ser>
        <c:dLbls>
          <c:showLegendKey val="0"/>
          <c:showVal val="0"/>
          <c:showCatName val="0"/>
          <c:showSerName val="0"/>
          <c:showPercent val="0"/>
          <c:showBubbleSize val="0"/>
        </c:dLbls>
        <c:axId val="2110342728"/>
        <c:axId val="2110348200"/>
      </c:scatterChart>
      <c:valAx>
        <c:axId val="2110342728"/>
        <c:scaling>
          <c:orientation val="minMax"/>
        </c:scaling>
        <c:delete val="0"/>
        <c:axPos val="b"/>
        <c:majorGridlines/>
        <c:title>
          <c:tx>
            <c:rich>
              <a:bodyPr/>
              <a:lstStyle/>
              <a:p>
                <a:pPr>
                  <a:defRPr/>
                </a:pPr>
                <a:r>
                  <a:rPr lang="en-US"/>
                  <a:t>Span position [m]</a:t>
                </a:r>
              </a:p>
            </c:rich>
          </c:tx>
          <c:layout>
            <c:manualLayout>
              <c:xMode val="edge"/>
              <c:yMode val="edge"/>
              <c:x val="0.332276227018882"/>
              <c:y val="0.671163070805602"/>
            </c:manualLayout>
          </c:layout>
          <c:overlay val="0"/>
        </c:title>
        <c:numFmt formatCode="General" sourceLinked="1"/>
        <c:majorTickMark val="out"/>
        <c:minorTickMark val="none"/>
        <c:tickLblPos val="nextTo"/>
        <c:crossAx val="2110348200"/>
        <c:crosses val="autoZero"/>
        <c:crossBetween val="midCat"/>
      </c:valAx>
      <c:valAx>
        <c:axId val="2110348200"/>
        <c:scaling>
          <c:orientation val="minMax"/>
        </c:scaling>
        <c:delete val="0"/>
        <c:axPos val="l"/>
        <c:majorGridlines/>
        <c:title>
          <c:tx>
            <c:rich>
              <a:bodyPr rot="-5400000" vert="horz"/>
              <a:lstStyle/>
              <a:p>
                <a:pPr>
                  <a:defRPr/>
                </a:pPr>
                <a:r>
                  <a:rPr lang="en-US"/>
                  <a:t>Twist [deg]</a:t>
                </a:r>
              </a:p>
            </c:rich>
          </c:tx>
          <c:overlay val="0"/>
        </c:title>
        <c:numFmt formatCode="General" sourceLinked="1"/>
        <c:majorTickMark val="out"/>
        <c:minorTickMark val="none"/>
        <c:tickLblPos val="nextTo"/>
        <c:crossAx val="2110342728"/>
        <c:crosses val="autoZero"/>
        <c:crossBetween val="midCat"/>
      </c:valAx>
    </c:plotArea>
    <c:legend>
      <c:legendPos val="r"/>
      <c:overlay val="0"/>
    </c:legend>
    <c:plotVisOnly val="1"/>
    <c:dispBlanksAs val="gap"/>
    <c:showDLblsOverMax val="0"/>
  </c:chart>
  <c:printSettings>
    <c:headerFooter/>
    <c:pageMargins b="0.750000000000015" l="0.700000000000001" r="0.700000000000001" t="0.75000000000001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tx>
            <c:v>Root</c:v>
          </c:tx>
          <c:xVal>
            <c:numRef>
              <c:f>'Airfoil Interpolation'!$B$4:$B$32</c:f>
              <c:numCache>
                <c:formatCode>General</c:formatCode>
                <c:ptCount val="29"/>
                <c:pt idx="0">
                  <c:v>1.0</c:v>
                </c:pt>
                <c:pt idx="1">
                  <c:v>0.95122</c:v>
                </c:pt>
                <c:pt idx="2">
                  <c:v>0.86627</c:v>
                </c:pt>
                <c:pt idx="3">
                  <c:v>0.78124</c:v>
                </c:pt>
                <c:pt idx="4">
                  <c:v>0.69626</c:v>
                </c:pt>
                <c:pt idx="5">
                  <c:v>0.61146</c:v>
                </c:pt>
                <c:pt idx="6">
                  <c:v>0.5268</c:v>
                </c:pt>
                <c:pt idx="7">
                  <c:v>0.44249</c:v>
                </c:pt>
                <c:pt idx="8">
                  <c:v>0.35811</c:v>
                </c:pt>
                <c:pt idx="9">
                  <c:v>0.27444</c:v>
                </c:pt>
                <c:pt idx="10">
                  <c:v>0.19115</c:v>
                </c:pt>
                <c:pt idx="11">
                  <c:v>0.11174</c:v>
                </c:pt>
                <c:pt idx="12">
                  <c:v>0.04294</c:v>
                </c:pt>
                <c:pt idx="13">
                  <c:v>0.01106</c:v>
                </c:pt>
                <c:pt idx="14">
                  <c:v>0.0013</c:v>
                </c:pt>
                <c:pt idx="15">
                  <c:v>0.00032</c:v>
                </c:pt>
                <c:pt idx="16">
                  <c:v>0.00766</c:v>
                </c:pt>
                <c:pt idx="17">
                  <c:v>0.03323</c:v>
                </c:pt>
                <c:pt idx="18">
                  <c:v>0.09704</c:v>
                </c:pt>
                <c:pt idx="19">
                  <c:v>0.17948</c:v>
                </c:pt>
                <c:pt idx="20">
                  <c:v>0.26478</c:v>
                </c:pt>
                <c:pt idx="21">
                  <c:v>0.35044</c:v>
                </c:pt>
                <c:pt idx="22">
                  <c:v>0.43622</c:v>
                </c:pt>
                <c:pt idx="23">
                  <c:v>0.52234</c:v>
                </c:pt>
                <c:pt idx="24">
                  <c:v>0.60845</c:v>
                </c:pt>
                <c:pt idx="25">
                  <c:v>0.69442</c:v>
                </c:pt>
                <c:pt idx="26">
                  <c:v>0.78025</c:v>
                </c:pt>
                <c:pt idx="27">
                  <c:v>0.86601</c:v>
                </c:pt>
                <c:pt idx="28">
                  <c:v>0.95123</c:v>
                </c:pt>
              </c:numCache>
            </c:numRef>
          </c:xVal>
          <c:yVal>
            <c:numRef>
              <c:f>'Airfoil Interpolation'!$C$4:$C$33</c:f>
              <c:numCache>
                <c:formatCode>General</c:formatCode>
                <c:ptCount val="30"/>
                <c:pt idx="0">
                  <c:v>0.00014</c:v>
                </c:pt>
                <c:pt idx="1">
                  <c:v>0.00561</c:v>
                </c:pt>
                <c:pt idx="2">
                  <c:v>0.01624</c:v>
                </c:pt>
                <c:pt idx="3">
                  <c:v>0.02865</c:v>
                </c:pt>
                <c:pt idx="4">
                  <c:v>0.04266</c:v>
                </c:pt>
                <c:pt idx="5">
                  <c:v>0.05837</c:v>
                </c:pt>
                <c:pt idx="6">
                  <c:v>0.07426</c:v>
                </c:pt>
                <c:pt idx="7">
                  <c:v>0.08724</c:v>
                </c:pt>
                <c:pt idx="8">
                  <c:v>0.09597</c:v>
                </c:pt>
                <c:pt idx="9">
                  <c:v>0.09779</c:v>
                </c:pt>
                <c:pt idx="10">
                  <c:v>0.09244</c:v>
                </c:pt>
                <c:pt idx="11">
                  <c:v>0.07575</c:v>
                </c:pt>
                <c:pt idx="12">
                  <c:v>0.04812</c:v>
                </c:pt>
                <c:pt idx="13">
                  <c:v>0.02292</c:v>
                </c:pt>
                <c:pt idx="14">
                  <c:v>0.00852</c:v>
                </c:pt>
                <c:pt idx="15">
                  <c:v>-0.00154</c:v>
                </c:pt>
                <c:pt idx="16">
                  <c:v>-0.01282</c:v>
                </c:pt>
                <c:pt idx="17">
                  <c:v>-0.02587</c:v>
                </c:pt>
                <c:pt idx="18">
                  <c:v>-0.04223</c:v>
                </c:pt>
                <c:pt idx="19">
                  <c:v>-0.04947</c:v>
                </c:pt>
                <c:pt idx="20">
                  <c:v>-0.05158</c:v>
                </c:pt>
                <c:pt idx="21">
                  <c:v>-0.05135</c:v>
                </c:pt>
                <c:pt idx="22">
                  <c:v>-0.04886</c:v>
                </c:pt>
                <c:pt idx="23">
                  <c:v>-0.04455</c:v>
                </c:pt>
                <c:pt idx="24">
                  <c:v>-0.03884</c:v>
                </c:pt>
                <c:pt idx="25">
                  <c:v>-0.03178</c:v>
                </c:pt>
                <c:pt idx="26">
                  <c:v>-0.02383</c:v>
                </c:pt>
                <c:pt idx="27">
                  <c:v>-0.01478</c:v>
                </c:pt>
                <c:pt idx="28">
                  <c:v>-0.00521</c:v>
                </c:pt>
                <c:pt idx="29">
                  <c:v>0.00014</c:v>
                </c:pt>
              </c:numCache>
            </c:numRef>
          </c:yVal>
          <c:smooth val="1"/>
        </c:ser>
        <c:ser>
          <c:idx val="1"/>
          <c:order val="1"/>
          <c:tx>
            <c:v>Tip</c:v>
          </c:tx>
          <c:xVal>
            <c:numRef>
              <c:f>'Airfoil Interpolation'!$E$4:$E$33</c:f>
              <c:numCache>
                <c:formatCode>0.000000</c:formatCode>
                <c:ptCount val="30"/>
                <c:pt idx="0">
                  <c:v>1.0</c:v>
                </c:pt>
                <c:pt idx="1">
                  <c:v>0.95823</c:v>
                </c:pt>
                <c:pt idx="2">
                  <c:v>0.87218</c:v>
                </c:pt>
                <c:pt idx="3">
                  <c:v>0.7842</c:v>
                </c:pt>
                <c:pt idx="4">
                  <c:v>0.69613</c:v>
                </c:pt>
                <c:pt idx="5">
                  <c:v>0.60809</c:v>
                </c:pt>
                <c:pt idx="6">
                  <c:v>0.52019</c:v>
                </c:pt>
                <c:pt idx="7">
                  <c:v>0.43256</c:v>
                </c:pt>
                <c:pt idx="8">
                  <c:v>0.3454</c:v>
                </c:pt>
                <c:pt idx="9">
                  <c:v>0.25904</c:v>
                </c:pt>
                <c:pt idx="10">
                  <c:v>0.17425</c:v>
                </c:pt>
                <c:pt idx="11">
                  <c:v>0.0939</c:v>
                </c:pt>
                <c:pt idx="12">
                  <c:v>0.03559</c:v>
                </c:pt>
                <c:pt idx="13">
                  <c:v>0.01077</c:v>
                </c:pt>
                <c:pt idx="14">
                  <c:v>0.00112</c:v>
                </c:pt>
                <c:pt idx="15">
                  <c:v>0.00112</c:v>
                </c:pt>
                <c:pt idx="16">
                  <c:v>0.01077</c:v>
                </c:pt>
                <c:pt idx="17">
                  <c:v>0.03559</c:v>
                </c:pt>
                <c:pt idx="18">
                  <c:v>0.0939</c:v>
                </c:pt>
                <c:pt idx="19">
                  <c:v>0.17425</c:v>
                </c:pt>
                <c:pt idx="20">
                  <c:v>0.25904</c:v>
                </c:pt>
                <c:pt idx="21">
                  <c:v>0.3454</c:v>
                </c:pt>
                <c:pt idx="22">
                  <c:v>0.43256</c:v>
                </c:pt>
                <c:pt idx="23">
                  <c:v>0.52019</c:v>
                </c:pt>
                <c:pt idx="24">
                  <c:v>0.60809</c:v>
                </c:pt>
                <c:pt idx="25">
                  <c:v>0.69613</c:v>
                </c:pt>
                <c:pt idx="26">
                  <c:v>0.7842</c:v>
                </c:pt>
                <c:pt idx="27">
                  <c:v>0.87218</c:v>
                </c:pt>
                <c:pt idx="28">
                  <c:v>0.95823</c:v>
                </c:pt>
                <c:pt idx="29">
                  <c:v>1.0</c:v>
                </c:pt>
              </c:numCache>
            </c:numRef>
          </c:xVal>
          <c:yVal>
            <c:numRef>
              <c:f>'Airfoil Interpolation'!$F$4:$F$33</c:f>
              <c:numCache>
                <c:formatCode>0.000000</c:formatCode>
                <c:ptCount val="30"/>
                <c:pt idx="0">
                  <c:v>0.00105</c:v>
                </c:pt>
                <c:pt idx="1">
                  <c:v>0.00581</c:v>
                </c:pt>
                <c:pt idx="2">
                  <c:v>0.0149</c:v>
                </c:pt>
                <c:pt idx="3">
                  <c:v>0.0233</c:v>
                </c:pt>
                <c:pt idx="4">
                  <c:v>0.03085</c:v>
                </c:pt>
                <c:pt idx="5">
                  <c:v>0.03747</c:v>
                </c:pt>
                <c:pt idx="6">
                  <c:v>0.04302</c:v>
                </c:pt>
                <c:pt idx="7">
                  <c:v>0.04722</c:v>
                </c:pt>
                <c:pt idx="8">
                  <c:v>0.04965</c:v>
                </c:pt>
                <c:pt idx="9">
                  <c:v>0.04968</c:v>
                </c:pt>
                <c:pt idx="10">
                  <c:v>0.04636</c:v>
                </c:pt>
                <c:pt idx="11">
                  <c:v>0.03814</c:v>
                </c:pt>
                <c:pt idx="12">
                  <c:v>0.02555</c:v>
                </c:pt>
                <c:pt idx="13">
                  <c:v>0.01471</c:v>
                </c:pt>
                <c:pt idx="14">
                  <c:v>0.0049</c:v>
                </c:pt>
                <c:pt idx="15">
                  <c:v>-0.0049</c:v>
                </c:pt>
                <c:pt idx="16">
                  <c:v>-0.01471</c:v>
                </c:pt>
                <c:pt idx="17">
                  <c:v>-0.02555</c:v>
                </c:pt>
                <c:pt idx="18">
                  <c:v>-0.03814</c:v>
                </c:pt>
                <c:pt idx="19">
                  <c:v>-0.04636</c:v>
                </c:pt>
                <c:pt idx="20">
                  <c:v>-0.04968</c:v>
                </c:pt>
                <c:pt idx="21">
                  <c:v>-0.04965</c:v>
                </c:pt>
                <c:pt idx="22">
                  <c:v>-0.04722</c:v>
                </c:pt>
                <c:pt idx="23">
                  <c:v>-0.04302</c:v>
                </c:pt>
                <c:pt idx="24">
                  <c:v>-0.03747</c:v>
                </c:pt>
                <c:pt idx="25">
                  <c:v>-0.03085</c:v>
                </c:pt>
                <c:pt idx="26">
                  <c:v>-0.0233</c:v>
                </c:pt>
                <c:pt idx="27">
                  <c:v>-0.0149</c:v>
                </c:pt>
                <c:pt idx="28">
                  <c:v>-0.00581</c:v>
                </c:pt>
                <c:pt idx="29">
                  <c:v>-0.00105</c:v>
                </c:pt>
              </c:numCache>
            </c:numRef>
          </c:yVal>
          <c:smooth val="1"/>
        </c:ser>
        <c:ser>
          <c:idx val="2"/>
          <c:order val="2"/>
          <c:xVal>
            <c:numRef>
              <c:f>'Airfoil Interpolation'!$Y$4:$Y$33</c:f>
              <c:numCache>
                <c:formatCode>General</c:formatCode>
                <c:ptCount val="30"/>
                <c:pt idx="0">
                  <c:v>1.0</c:v>
                </c:pt>
                <c:pt idx="1">
                  <c:v>0.954140833333333</c:v>
                </c:pt>
                <c:pt idx="2">
                  <c:v>0.8687325</c:v>
                </c:pt>
                <c:pt idx="3">
                  <c:v>0.782473333333333</c:v>
                </c:pt>
                <c:pt idx="4">
                  <c:v>0.696205833333333</c:v>
                </c:pt>
                <c:pt idx="5">
                  <c:v>0.610055833333333</c:v>
                </c:pt>
                <c:pt idx="6">
                  <c:v>0.524045833333333</c:v>
                </c:pt>
                <c:pt idx="7">
                  <c:v>0.4383525</c:v>
                </c:pt>
                <c:pt idx="8">
                  <c:v>0.352814166666667</c:v>
                </c:pt>
                <c:pt idx="9">
                  <c:v>0.268023333333333</c:v>
                </c:pt>
                <c:pt idx="10">
                  <c:v>0.184108333333333</c:v>
                </c:pt>
                <c:pt idx="11">
                  <c:v>0.104306666666667</c:v>
                </c:pt>
                <c:pt idx="12">
                  <c:v>0.0398775</c:v>
                </c:pt>
                <c:pt idx="13">
                  <c:v>0.0109391666666667</c:v>
                </c:pt>
                <c:pt idx="14">
                  <c:v>0.001225</c:v>
                </c:pt>
                <c:pt idx="15">
                  <c:v>0.000653333333333333</c:v>
                </c:pt>
                <c:pt idx="16">
                  <c:v>0.00895583333333333</c:v>
                </c:pt>
                <c:pt idx="17">
                  <c:v>0.0342133333333333</c:v>
                </c:pt>
                <c:pt idx="18">
                  <c:v>0.0957316666666666</c:v>
                </c:pt>
                <c:pt idx="19">
                  <c:v>0.177300833333333</c:v>
                </c:pt>
                <c:pt idx="20">
                  <c:v>0.262388333333333</c:v>
                </c:pt>
                <c:pt idx="21">
                  <c:v>0.34834</c:v>
                </c:pt>
                <c:pt idx="22">
                  <c:v>0.434695</c:v>
                </c:pt>
                <c:pt idx="23">
                  <c:v>0.521444166666667</c:v>
                </c:pt>
                <c:pt idx="24">
                  <c:v>0.6083</c:v>
                </c:pt>
                <c:pt idx="25">
                  <c:v>0.6951325</c:v>
                </c:pt>
                <c:pt idx="26">
                  <c:v>0.781895833333333</c:v>
                </c:pt>
                <c:pt idx="27">
                  <c:v>0.868580833333333</c:v>
                </c:pt>
                <c:pt idx="28">
                  <c:v>0.954146666666667</c:v>
                </c:pt>
                <c:pt idx="29">
                  <c:v>1.0</c:v>
                </c:pt>
              </c:numCache>
            </c:numRef>
          </c:xVal>
          <c:yVal>
            <c:numRef>
              <c:f>'Airfoil Interpolation'!$Z$4:$Z$33</c:f>
              <c:numCache>
                <c:formatCode>General</c:formatCode>
                <c:ptCount val="30"/>
                <c:pt idx="0">
                  <c:v>0.000519166666666667</c:v>
                </c:pt>
                <c:pt idx="1">
                  <c:v>0.00569333333333333</c:v>
                </c:pt>
                <c:pt idx="2">
                  <c:v>0.0156816666666667</c:v>
                </c:pt>
                <c:pt idx="3">
                  <c:v>0.0264208333333333</c:v>
                </c:pt>
                <c:pt idx="4">
                  <c:v>0.0377391666666667</c:v>
                </c:pt>
                <c:pt idx="5">
                  <c:v>0.0496616666666667</c:v>
                </c:pt>
                <c:pt idx="6">
                  <c:v>0.0612433333333333</c:v>
                </c:pt>
                <c:pt idx="7">
                  <c:v>0.070565</c:v>
                </c:pt>
                <c:pt idx="8">
                  <c:v>0.07667</c:v>
                </c:pt>
                <c:pt idx="9">
                  <c:v>0.0777441666666667</c:v>
                </c:pt>
                <c:pt idx="10">
                  <c:v>0.07324</c:v>
                </c:pt>
                <c:pt idx="11">
                  <c:v>0.0600791666666667</c:v>
                </c:pt>
                <c:pt idx="12">
                  <c:v>0.0387158333333333</c:v>
                </c:pt>
                <c:pt idx="13">
                  <c:v>0.0194991666666667</c:v>
                </c:pt>
                <c:pt idx="14">
                  <c:v>0.00701166666666666</c:v>
                </c:pt>
                <c:pt idx="15">
                  <c:v>-0.00294</c:v>
                </c:pt>
                <c:pt idx="16">
                  <c:v>-0.0136075</c:v>
                </c:pt>
                <c:pt idx="17">
                  <c:v>-0.0257366666666667</c:v>
                </c:pt>
                <c:pt idx="18">
                  <c:v>-0.0405258333333333</c:v>
                </c:pt>
                <c:pt idx="19">
                  <c:v>-0.0481741666666667</c:v>
                </c:pt>
                <c:pt idx="20">
                  <c:v>-0.0507883333333333</c:v>
                </c:pt>
                <c:pt idx="21">
                  <c:v>-0.0506416666666667</c:v>
                </c:pt>
                <c:pt idx="22">
                  <c:v>-0.0481766666666667</c:v>
                </c:pt>
                <c:pt idx="23">
                  <c:v>-0.0439125</c:v>
                </c:pt>
                <c:pt idx="24">
                  <c:v>-0.0382691666666667</c:v>
                </c:pt>
                <c:pt idx="25">
                  <c:v>-0.0313925</c:v>
                </c:pt>
                <c:pt idx="26">
                  <c:v>-0.0236091666666667</c:v>
                </c:pt>
                <c:pt idx="27">
                  <c:v>-0.01483</c:v>
                </c:pt>
                <c:pt idx="28">
                  <c:v>-0.00546</c:v>
                </c:pt>
                <c:pt idx="29">
                  <c:v>-0.000355833333333333</c:v>
                </c:pt>
              </c:numCache>
            </c:numRef>
          </c:yVal>
          <c:smooth val="1"/>
        </c:ser>
        <c:dLbls>
          <c:showLegendKey val="0"/>
          <c:showVal val="0"/>
          <c:showCatName val="0"/>
          <c:showSerName val="0"/>
          <c:showPercent val="0"/>
          <c:showBubbleSize val="0"/>
        </c:dLbls>
        <c:axId val="2110442312"/>
        <c:axId val="2110445240"/>
      </c:scatterChart>
      <c:valAx>
        <c:axId val="2110442312"/>
        <c:scaling>
          <c:orientation val="minMax"/>
          <c:max val="1.1"/>
          <c:min val="0.0"/>
        </c:scaling>
        <c:delete val="0"/>
        <c:axPos val="b"/>
        <c:numFmt formatCode="General" sourceLinked="1"/>
        <c:majorTickMark val="out"/>
        <c:minorTickMark val="none"/>
        <c:tickLblPos val="nextTo"/>
        <c:crossAx val="2110445240"/>
        <c:crosses val="autoZero"/>
        <c:crossBetween val="midCat"/>
        <c:majorUnit val="0.1"/>
      </c:valAx>
      <c:valAx>
        <c:axId val="2110445240"/>
        <c:scaling>
          <c:orientation val="minMax"/>
        </c:scaling>
        <c:delete val="0"/>
        <c:axPos val="l"/>
        <c:majorGridlines/>
        <c:numFmt formatCode="General" sourceLinked="1"/>
        <c:majorTickMark val="out"/>
        <c:minorTickMark val="none"/>
        <c:tickLblPos val="nextTo"/>
        <c:crossAx val="2110442312"/>
        <c:crosses val="autoZero"/>
        <c:crossBetween val="midCat"/>
      </c:valAx>
    </c:plotArea>
    <c:legend>
      <c:legendPos val="r"/>
      <c:layout/>
      <c:overlay val="0"/>
    </c:legend>
    <c:plotVisOnly val="1"/>
    <c:dispBlanksAs val="gap"/>
    <c:showDLblsOverMax val="0"/>
  </c:chart>
  <c:printSettings>
    <c:headerFooter/>
    <c:pageMargins b="0.750000000000005" l="0.700000000000001" r="0.700000000000001" t="0.75000000000000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041333395210652"/>
          <c:y val="0.0347859681809122"/>
          <c:w val="0.944044493278147"/>
          <c:h val="0.94713502117413"/>
        </c:manualLayout>
      </c:layout>
      <c:scatterChart>
        <c:scatterStyle val="smoothMarker"/>
        <c:varyColors val="0"/>
        <c:ser>
          <c:idx val="0"/>
          <c:order val="0"/>
          <c:spPr>
            <a:ln w="28575"/>
          </c:spPr>
          <c:marker>
            <c:symbol val="none"/>
          </c:marker>
          <c:xVal>
            <c:numRef>
              <c:f>Root!$N$2:$N$31</c:f>
              <c:numCache>
                <c:formatCode>General</c:formatCode>
                <c:ptCount val="30"/>
                <c:pt idx="0">
                  <c:v>788.2692596956688</c:v>
                </c:pt>
                <c:pt idx="1">
                  <c:v>750.3163836251236</c:v>
                </c:pt>
                <c:pt idx="2">
                  <c:v>684.3223073389728</c:v>
                </c:pt>
                <c:pt idx="3">
                  <c:v>618.4273152971752</c:v>
                </c:pt>
                <c:pt idx="4">
                  <c:v>552.7174841839884</c:v>
                </c:pt>
                <c:pt idx="5">
                  <c:v>487.3043966017428</c:v>
                </c:pt>
                <c:pt idx="6">
                  <c:v>422.0180615920586</c:v>
                </c:pt>
                <c:pt idx="7">
                  <c:v>356.7425369969028</c:v>
                </c:pt>
                <c:pt idx="8">
                  <c:v>291.024691046954</c:v>
                </c:pt>
                <c:pt idx="9">
                  <c:v>225.2370575957741</c:v>
                </c:pt>
                <c:pt idx="10">
                  <c:v>159.0958279293578</c:v>
                </c:pt>
                <c:pt idx="11">
                  <c:v>94.98004382712583</c:v>
                </c:pt>
                <c:pt idx="12">
                  <c:v>38.23110860523406</c:v>
                </c:pt>
                <c:pt idx="13">
                  <c:v>10.80595854390602</c:v>
                </c:pt>
                <c:pt idx="14">
                  <c:v>1.800842108691232</c:v>
                </c:pt>
                <c:pt idx="15">
                  <c:v>0.111959532754577</c:v>
                </c:pt>
                <c:pt idx="16">
                  <c:v>4.87023816412034</c:v>
                </c:pt>
                <c:pt idx="17">
                  <c:v>23.83719907404814</c:v>
                </c:pt>
                <c:pt idx="18">
                  <c:v>72.64557241293684</c:v>
                </c:pt>
                <c:pt idx="19">
                  <c:v>136.9699286609903</c:v>
                </c:pt>
                <c:pt idx="20">
                  <c:v>204.0160033744326</c:v>
                </c:pt>
                <c:pt idx="21">
                  <c:v>271.5590070313381</c:v>
                </c:pt>
                <c:pt idx="22">
                  <c:v>339.4024706649265</c:v>
                </c:pt>
                <c:pt idx="23">
                  <c:v>407.6797299782793</c:v>
                </c:pt>
                <c:pt idx="24">
                  <c:v>476.0766363169295</c:v>
                </c:pt>
                <c:pt idx="25">
                  <c:v>544.4861617067739</c:v>
                </c:pt>
                <c:pt idx="26">
                  <c:v>612.8664035681214</c:v>
                </c:pt>
                <c:pt idx="27">
                  <c:v>681.2916692949981</c:v>
                </c:pt>
                <c:pt idx="28">
                  <c:v>749.338644641801</c:v>
                </c:pt>
                <c:pt idx="29">
                  <c:v>788.2692596956688</c:v>
                </c:pt>
              </c:numCache>
            </c:numRef>
          </c:xVal>
          <c:yVal>
            <c:numRef>
              <c:f>Root!$O$2:$O$31</c:f>
              <c:numCache>
                <c:formatCode>General</c:formatCode>
                <c:ptCount val="30"/>
                <c:pt idx="0">
                  <c:v>-91.58770907121146</c:v>
                </c:pt>
                <c:pt idx="1">
                  <c:v>-82.77418310462264</c:v>
                </c:pt>
                <c:pt idx="2">
                  <c:v>-66.54943879893926</c:v>
                </c:pt>
                <c:pt idx="3">
                  <c:v>-48.90492418616107</c:v>
                </c:pt>
                <c:pt idx="4">
                  <c:v>-29.99539055547388</c:v>
                </c:pt>
                <c:pt idx="5">
                  <c:v>-9.75340850343444</c:v>
                </c:pt>
                <c:pt idx="6">
                  <c:v>10.61856616194804</c:v>
                </c:pt>
                <c:pt idx="7">
                  <c:v>28.64935404914031</c:v>
                </c:pt>
                <c:pt idx="8">
                  <c:v>43.31417533917335</c:v>
                </c:pt>
                <c:pt idx="9">
                  <c:v>52.43078838852612</c:v>
                </c:pt>
                <c:pt idx="10">
                  <c:v>55.82314315785096</c:v>
                </c:pt>
                <c:pt idx="11">
                  <c:v>49.86138853396202</c:v>
                </c:pt>
                <c:pt idx="12">
                  <c:v>34.24579258624934</c:v>
                </c:pt>
                <c:pt idx="13">
                  <c:v>17.17288797507168</c:v>
                </c:pt>
                <c:pt idx="14">
                  <c:v>6.641432636467666</c:v>
                </c:pt>
                <c:pt idx="15">
                  <c:v>-1.251337425273009</c:v>
                </c:pt>
                <c:pt idx="16">
                  <c:v>-10.87511451605092</c:v>
                </c:pt>
                <c:pt idx="17">
                  <c:v>-23.57506009861497</c:v>
                </c:pt>
                <c:pt idx="18">
                  <c:v>-42.40806095876925</c:v>
                </c:pt>
                <c:pt idx="19">
                  <c:v>-55.71266789215662</c:v>
                </c:pt>
                <c:pt idx="20">
                  <c:v>-65.20886570192571</c:v>
                </c:pt>
                <c:pt idx="21">
                  <c:v>-72.88127929108571</c:v>
                </c:pt>
                <c:pt idx="22">
                  <c:v>-78.77138114567052</c:v>
                </c:pt>
                <c:pt idx="23">
                  <c:v>-83.24848608996887</c:v>
                </c:pt>
                <c:pt idx="24">
                  <c:v>-86.61377058312817</c:v>
                </c:pt>
                <c:pt idx="25">
                  <c:v>-88.89498890490781</c:v>
                </c:pt>
                <c:pt idx="26">
                  <c:v>-90.45715219319834</c:v>
                </c:pt>
                <c:pt idx="27">
                  <c:v>-91.1400438444872</c:v>
                </c:pt>
                <c:pt idx="28">
                  <c:v>-91.36079685777962</c:v>
                </c:pt>
                <c:pt idx="29">
                  <c:v>-91.58770907121146</c:v>
                </c:pt>
              </c:numCache>
            </c:numRef>
          </c:yVal>
          <c:smooth val="1"/>
        </c:ser>
        <c:ser>
          <c:idx val="1"/>
          <c:order val="1"/>
          <c:spPr>
            <a:ln>
              <a:solidFill>
                <a:schemeClr val="accent1"/>
              </a:solidFill>
            </a:ln>
          </c:spPr>
          <c:marker>
            <c:symbol val="none"/>
          </c:marker>
          <c:xVal>
            <c:numRef>
              <c:f>'2'!$N$2:$N$31</c:f>
              <c:numCache>
                <c:formatCode>General</c:formatCode>
                <c:ptCount val="30"/>
                <c:pt idx="0">
                  <c:v>706.8287412003764</c:v>
                </c:pt>
                <c:pt idx="1">
                  <c:v>675.8823218318395</c:v>
                </c:pt>
                <c:pt idx="2">
                  <c:v>621.3585102116457</c:v>
                </c:pt>
                <c:pt idx="3">
                  <c:v>566.8160910286903</c:v>
                </c:pt>
                <c:pt idx="4">
                  <c:v>512.4174606465848</c:v>
                </c:pt>
                <c:pt idx="5">
                  <c:v>458.2540258658366</c:v>
                </c:pt>
                <c:pt idx="6">
                  <c:v>404.1882772259198</c:v>
                </c:pt>
                <c:pt idx="7">
                  <c:v>350.1096383807286</c:v>
                </c:pt>
                <c:pt idx="8">
                  <c:v>295.6705529203754</c:v>
                </c:pt>
                <c:pt idx="9">
                  <c:v>241.1428618171478</c:v>
                </c:pt>
                <c:pt idx="10">
                  <c:v>186.3442298185154</c:v>
                </c:pt>
                <c:pt idx="11">
                  <c:v>133.1848786109377</c:v>
                </c:pt>
                <c:pt idx="12">
                  <c:v>86.67569264395316</c:v>
                </c:pt>
                <c:pt idx="13">
                  <c:v>64.24129106320755</c:v>
                </c:pt>
                <c:pt idx="14">
                  <c:v>56.69400509588752</c:v>
                </c:pt>
                <c:pt idx="15">
                  <c:v>55.25417321452637</c:v>
                </c:pt>
                <c:pt idx="16">
                  <c:v>59.21306153576884</c:v>
                </c:pt>
                <c:pt idx="17">
                  <c:v>74.7400094183845</c:v>
                </c:pt>
                <c:pt idx="18">
                  <c:v>114.6575605927351</c:v>
                </c:pt>
                <c:pt idx="19">
                  <c:v>167.6431625595074</c:v>
                </c:pt>
                <c:pt idx="20">
                  <c:v>223.0133112394632</c:v>
                </c:pt>
                <c:pt idx="21">
                  <c:v>278.8901005849883</c:v>
                </c:pt>
                <c:pt idx="22">
                  <c:v>335.0753721619126</c:v>
                </c:pt>
                <c:pt idx="23">
                  <c:v>391.6438232062376</c:v>
                </c:pt>
                <c:pt idx="24">
                  <c:v>448.3397717199845</c:v>
                </c:pt>
                <c:pt idx="25">
                  <c:v>505.0726155397136</c:v>
                </c:pt>
                <c:pt idx="26">
                  <c:v>561.7994972638915</c:v>
                </c:pt>
                <c:pt idx="27">
                  <c:v>618.5715323016547</c:v>
                </c:pt>
                <c:pt idx="28">
                  <c:v>674.961657927882</c:v>
                </c:pt>
                <c:pt idx="29">
                  <c:v>706.813845773834</c:v>
                </c:pt>
              </c:numCache>
            </c:numRef>
          </c:xVal>
          <c:yVal>
            <c:numRef>
              <c:f>'2'!$O$2:$O$31</c:f>
              <c:numCache>
                <c:formatCode>General</c:formatCode>
                <c:ptCount val="30"/>
                <c:pt idx="0">
                  <c:v>-85.69788431280794</c:v>
                </c:pt>
                <c:pt idx="1">
                  <c:v>-78.00482926036535</c:v>
                </c:pt>
                <c:pt idx="2">
                  <c:v>-63.80330040699263</c:v>
                </c:pt>
                <c:pt idx="3">
                  <c:v>-48.54714640114199</c:v>
                </c:pt>
                <c:pt idx="4">
                  <c:v>-32.37695719789831</c:v>
                </c:pt>
                <c:pt idx="5">
                  <c:v>-15.24795939979561</c:v>
                </c:pt>
                <c:pt idx="6">
                  <c:v>1.91885763678091</c:v>
                </c:pt>
                <c:pt idx="7">
                  <c:v>17.22921879306568</c:v>
                </c:pt>
                <c:pt idx="8">
                  <c:v>29.88449346802864</c:v>
                </c:pt>
                <c:pt idx="9">
                  <c:v>38.18399845329226</c:v>
                </c:pt>
                <c:pt idx="10">
                  <c:v>41.93953484445503</c:v>
                </c:pt>
                <c:pt idx="11">
                  <c:v>38.2581799925117</c:v>
                </c:pt>
                <c:pt idx="12">
                  <c:v>26.75447101798182</c:v>
                </c:pt>
                <c:pt idx="13">
                  <c:v>13.66582271214354</c:v>
                </c:pt>
                <c:pt idx="14">
                  <c:v>5.290690728301145</c:v>
                </c:pt>
                <c:pt idx="15">
                  <c:v>-1.229274569122524</c:v>
                </c:pt>
                <c:pt idx="16">
                  <c:v>-9.208443850257397</c:v>
                </c:pt>
                <c:pt idx="17">
                  <c:v>-19.85327938364638</c:v>
                </c:pt>
                <c:pt idx="18">
                  <c:v>-35.83650754248792</c:v>
                </c:pt>
                <c:pt idx="19">
                  <c:v>-47.70989994810227</c:v>
                </c:pt>
                <c:pt idx="20">
                  <c:v>-56.48131492610043</c:v>
                </c:pt>
                <c:pt idx="21">
                  <c:v>-63.69915307287754</c:v>
                </c:pt>
                <c:pt idx="22">
                  <c:v>-69.4392428569963</c:v>
                </c:pt>
                <c:pt idx="23">
                  <c:v>-74.01610315676612</c:v>
                </c:pt>
                <c:pt idx="24">
                  <c:v>-77.67678226595505</c:v>
                </c:pt>
                <c:pt idx="25">
                  <c:v>-80.45557656314054</c:v>
                </c:pt>
                <c:pt idx="26">
                  <c:v>-82.63648090030067</c:v>
                </c:pt>
                <c:pt idx="27">
                  <c:v>-84.10201738568715</c:v>
                </c:pt>
                <c:pt idx="28">
                  <c:v>-85.16020908558006</c:v>
                </c:pt>
                <c:pt idx="29">
                  <c:v>-85.81289231355962</c:v>
                </c:pt>
              </c:numCache>
            </c:numRef>
          </c:yVal>
          <c:smooth val="1"/>
        </c:ser>
        <c:ser>
          <c:idx val="2"/>
          <c:order val="2"/>
          <c:spPr>
            <a:ln>
              <a:solidFill>
                <a:srgbClr val="4F81BD"/>
              </a:solidFill>
            </a:ln>
          </c:spPr>
          <c:marker>
            <c:symbol val="none"/>
          </c:marker>
          <c:xVal>
            <c:numRef>
              <c:f>'3'!$N$2:$N$31</c:f>
              <c:numCache>
                <c:formatCode>General</c:formatCode>
                <c:ptCount val="30"/>
                <c:pt idx="0">
                  <c:v>665.6271711017798</c:v>
                </c:pt>
                <c:pt idx="1">
                  <c:v>639.6097346554814</c:v>
                </c:pt>
                <c:pt idx="2">
                  <c:v>593.1517872887604</c:v>
                </c:pt>
                <c:pt idx="3">
                  <c:v>546.585805808051</c:v>
                </c:pt>
                <c:pt idx="4">
                  <c:v>500.1283427878964</c:v>
                </c:pt>
                <c:pt idx="5">
                  <c:v>453.856165132153</c:v>
                </c:pt>
                <c:pt idx="6">
                  <c:v>407.6594999904258</c:v>
                </c:pt>
                <c:pt idx="7">
                  <c:v>361.4413907984056</c:v>
                </c:pt>
                <c:pt idx="8">
                  <c:v>314.9326781848483</c:v>
                </c:pt>
                <c:pt idx="9">
                  <c:v>268.3422695182713</c:v>
                </c:pt>
                <c:pt idx="10">
                  <c:v>221.5592328744397</c:v>
                </c:pt>
                <c:pt idx="11">
                  <c:v>176.1751945766347</c:v>
                </c:pt>
                <c:pt idx="12">
                  <c:v>136.9664159636255</c:v>
                </c:pt>
                <c:pt idx="13">
                  <c:v>118.1236825827598</c:v>
                </c:pt>
                <c:pt idx="14">
                  <c:v>111.6419982074864</c:v>
                </c:pt>
                <c:pt idx="15">
                  <c:v>110.4008170044628</c:v>
                </c:pt>
                <c:pt idx="16">
                  <c:v>113.8226578841007</c:v>
                </c:pt>
                <c:pt idx="17">
                  <c:v>126.95474653319</c:v>
                </c:pt>
                <c:pt idx="18">
                  <c:v>160.6416734927693</c:v>
                </c:pt>
                <c:pt idx="19">
                  <c:v>205.6441697151298</c:v>
                </c:pt>
                <c:pt idx="20">
                  <c:v>252.78142211057</c:v>
                </c:pt>
                <c:pt idx="21">
                  <c:v>300.4278136447945</c:v>
                </c:pt>
                <c:pt idx="22">
                  <c:v>348.3833304644825</c:v>
                </c:pt>
                <c:pt idx="23">
                  <c:v>396.6821436884958</c:v>
                </c:pt>
                <c:pt idx="24">
                  <c:v>445.1107559476116</c:v>
                </c:pt>
                <c:pt idx="25">
                  <c:v>493.5900331511336</c:v>
                </c:pt>
                <c:pt idx="26">
                  <c:v>542.0778153775</c:v>
                </c:pt>
                <c:pt idx="27">
                  <c:v>590.6081019472358</c:v>
                </c:pt>
                <c:pt idx="28">
                  <c:v>638.7530097676616</c:v>
                </c:pt>
                <c:pt idx="29">
                  <c:v>665.5996476714758</c:v>
                </c:pt>
              </c:numCache>
            </c:numRef>
          </c:xVal>
          <c:yVal>
            <c:numRef>
              <c:f>'3'!$O$2:$O$31</c:f>
              <c:numCache>
                <c:formatCode>General</c:formatCode>
                <c:ptCount val="30"/>
                <c:pt idx="0">
                  <c:v>-79.25944050573888</c:v>
                </c:pt>
                <c:pt idx="1">
                  <c:v>-72.47659978767542</c:v>
                </c:pt>
                <c:pt idx="2">
                  <c:v>-59.89737068956065</c:v>
                </c:pt>
                <c:pt idx="3">
                  <c:v>-46.51989575133482</c:v>
                </c:pt>
                <c:pt idx="4">
                  <c:v>-32.47621560137482</c:v>
                </c:pt>
                <c:pt idx="5">
                  <c:v>-17.73726471648506</c:v>
                </c:pt>
                <c:pt idx="6">
                  <c:v>-3.025323254829038</c:v>
                </c:pt>
                <c:pt idx="7">
                  <c:v>10.17367797433284</c:v>
                </c:pt>
                <c:pt idx="8">
                  <c:v>21.21937058705056</c:v>
                </c:pt>
                <c:pt idx="9">
                  <c:v>28.75369959438257</c:v>
                </c:pt>
                <c:pt idx="10">
                  <c:v>32.57800222180947</c:v>
                </c:pt>
                <c:pt idx="11">
                  <c:v>30.32886967122473</c:v>
                </c:pt>
                <c:pt idx="12">
                  <c:v>21.56438059268459</c:v>
                </c:pt>
                <c:pt idx="13">
                  <c:v>11.21225485992983</c:v>
                </c:pt>
                <c:pt idx="14">
                  <c:v>4.339041866672018</c:v>
                </c:pt>
                <c:pt idx="15">
                  <c:v>-1.213749408502565</c:v>
                </c:pt>
                <c:pt idx="16">
                  <c:v>-8.016058130445141</c:v>
                </c:pt>
                <c:pt idx="17">
                  <c:v>-17.14924378995338</c:v>
                </c:pt>
                <c:pt idx="18">
                  <c:v>-30.96722243038856</c:v>
                </c:pt>
                <c:pt idx="19">
                  <c:v>-41.63920623815345</c:v>
                </c:pt>
                <c:pt idx="20">
                  <c:v>-49.70369201182069</c:v>
                </c:pt>
                <c:pt idx="21">
                  <c:v>-56.4060369006898</c:v>
                </c:pt>
                <c:pt idx="22">
                  <c:v>-61.84635057126879</c:v>
                </c:pt>
                <c:pt idx="23">
                  <c:v>-66.29935075437582</c:v>
                </c:pt>
                <c:pt idx="24">
                  <c:v>-69.97477383135079</c:v>
                </c:pt>
                <c:pt idx="25">
                  <c:v>-72.91183484844704</c:v>
                </c:pt>
                <c:pt idx="26">
                  <c:v>-75.33714883697249</c:v>
                </c:pt>
                <c:pt idx="27">
                  <c:v>-77.163092728526</c:v>
                </c:pt>
                <c:pt idx="28">
                  <c:v>-78.62022640115348</c:v>
                </c:pt>
                <c:pt idx="29">
                  <c:v>-79.45573122371701</c:v>
                </c:pt>
              </c:numCache>
            </c:numRef>
          </c:yVal>
          <c:smooth val="1"/>
        </c:ser>
        <c:ser>
          <c:idx val="3"/>
          <c:order val="3"/>
          <c:spPr>
            <a:ln>
              <a:solidFill>
                <a:srgbClr val="4F81BD"/>
              </a:solidFill>
            </a:ln>
          </c:spPr>
          <c:marker>
            <c:symbol val="none"/>
          </c:marker>
          <c:xVal>
            <c:numRef>
              <c:f>'4'!$N$2:$N$31</c:f>
              <c:numCache>
                <c:formatCode>General</c:formatCode>
                <c:ptCount val="30"/>
                <c:pt idx="0">
                  <c:v>653.6103273012893</c:v>
                </c:pt>
                <c:pt idx="1">
                  <c:v>631.0344374761843</c:v>
                </c:pt>
                <c:pt idx="2">
                  <c:v>590.1683561164684</c:v>
                </c:pt>
                <c:pt idx="3">
                  <c:v>549.120683668545</c:v>
                </c:pt>
                <c:pt idx="4">
                  <c:v>508.151016710265</c:v>
                </c:pt>
                <c:pt idx="5">
                  <c:v>467.3255264279204</c:v>
                </c:pt>
                <c:pt idx="6">
                  <c:v>426.558887765836</c:v>
                </c:pt>
                <c:pt idx="7">
                  <c:v>385.772948390936</c:v>
                </c:pt>
                <c:pt idx="8">
                  <c:v>344.7589062727707</c:v>
                </c:pt>
                <c:pt idx="9">
                  <c:v>303.688503839199</c:v>
                </c:pt>
                <c:pt idx="10">
                  <c:v>262.5039371779815</c:v>
                </c:pt>
                <c:pt idx="11">
                  <c:v>222.5851243955127</c:v>
                </c:pt>
                <c:pt idx="12">
                  <c:v>188.5744677792752</c:v>
                </c:pt>
                <c:pt idx="13">
                  <c:v>172.3281422745049</c:v>
                </c:pt>
                <c:pt idx="14">
                  <c:v>166.6289911044777</c:v>
                </c:pt>
                <c:pt idx="15">
                  <c:v>165.5548008647526</c:v>
                </c:pt>
                <c:pt idx="16">
                  <c:v>168.6383323126123</c:v>
                </c:pt>
                <c:pt idx="17">
                  <c:v>180.1332997976835</c:v>
                </c:pt>
                <c:pt idx="18">
                  <c:v>209.5050531596416</c:v>
                </c:pt>
                <c:pt idx="19">
                  <c:v>248.9542585659366</c:v>
                </c:pt>
                <c:pt idx="20">
                  <c:v>290.3553528541353</c:v>
                </c:pt>
                <c:pt idx="21">
                  <c:v>332.2653891365447</c:v>
                </c:pt>
                <c:pt idx="22">
                  <c:v>374.4812508257575</c:v>
                </c:pt>
                <c:pt idx="23">
                  <c:v>417.0083126842422</c:v>
                </c:pt>
                <c:pt idx="24">
                  <c:v>459.6639765155207</c:v>
                </c:pt>
                <c:pt idx="25">
                  <c:v>502.3770929787145</c:v>
                </c:pt>
                <c:pt idx="26">
                  <c:v>545.1070391332465</c:v>
                </c:pt>
                <c:pt idx="27">
                  <c:v>587.8746395625023</c:v>
                </c:pt>
                <c:pt idx="28">
                  <c:v>630.249302909288</c:v>
                </c:pt>
                <c:pt idx="29">
                  <c:v>653.5727485724953</c:v>
                </c:pt>
              </c:numCache>
            </c:numRef>
          </c:xVal>
          <c:yVal>
            <c:numRef>
              <c:f>'4'!$O$2:$O$31</c:f>
              <c:numCache>
                <c:formatCode>General</c:formatCode>
                <c:ptCount val="30"/>
                <c:pt idx="0">
                  <c:v>-72.16276071642235</c:v>
                </c:pt>
                <c:pt idx="1">
                  <c:v>-66.14963535075773</c:v>
                </c:pt>
                <c:pt idx="2">
                  <c:v>-54.92991590440117</c:v>
                </c:pt>
                <c:pt idx="3">
                  <c:v>-43.09745015904166</c:v>
                </c:pt>
                <c:pt idx="4">
                  <c:v>-30.77890320852805</c:v>
                </c:pt>
                <c:pt idx="5">
                  <c:v>-17.95636560399658</c:v>
                </c:pt>
                <c:pt idx="6">
                  <c:v>-5.20932279428229</c:v>
                </c:pt>
                <c:pt idx="7">
                  <c:v>6.270647242542256</c:v>
                </c:pt>
                <c:pt idx="8">
                  <c:v>15.95511602043081</c:v>
                </c:pt>
                <c:pt idx="9">
                  <c:v>22.7338945341694</c:v>
                </c:pt>
                <c:pt idx="10">
                  <c:v>26.39759517208137</c:v>
                </c:pt>
                <c:pt idx="11">
                  <c:v>24.97034231492564</c:v>
                </c:pt>
                <c:pt idx="12">
                  <c:v>17.98203198515063</c:v>
                </c:pt>
                <c:pt idx="13">
                  <c:v>9.499746615193806</c:v>
                </c:pt>
                <c:pt idx="14">
                  <c:v>3.66593921920293</c:v>
                </c:pt>
                <c:pt idx="15">
                  <c:v>-1.21175152035517</c:v>
                </c:pt>
                <c:pt idx="16">
                  <c:v>-7.168032298332577</c:v>
                </c:pt>
                <c:pt idx="17">
                  <c:v>-15.16973494561415</c:v>
                </c:pt>
                <c:pt idx="18">
                  <c:v>-27.29249834290603</c:v>
                </c:pt>
                <c:pt idx="19">
                  <c:v>-36.91134064898086</c:v>
                </c:pt>
                <c:pt idx="20">
                  <c:v>-44.26323108310294</c:v>
                </c:pt>
                <c:pt idx="21">
                  <c:v>-50.38408357988822</c:v>
                </c:pt>
                <c:pt idx="22">
                  <c:v>-55.39371655286663</c:v>
                </c:pt>
                <c:pt idx="23">
                  <c:v>-59.53859823863883</c:v>
                </c:pt>
                <c:pt idx="24">
                  <c:v>-63.00332099041426</c:v>
                </c:pt>
                <c:pt idx="25">
                  <c:v>-65.83151338092376</c:v>
                </c:pt>
                <c:pt idx="26">
                  <c:v>-68.20865249949207</c:v>
                </c:pt>
                <c:pt idx="27">
                  <c:v>-70.06853279600566</c:v>
                </c:pt>
                <c:pt idx="28">
                  <c:v>-71.58670790996257</c:v>
                </c:pt>
                <c:pt idx="29">
                  <c:v>-72.42176055660781</c:v>
                </c:pt>
              </c:numCache>
            </c:numRef>
          </c:yVal>
          <c:smooth val="1"/>
        </c:ser>
        <c:ser>
          <c:idx val="4"/>
          <c:order val="4"/>
          <c:marker>
            <c:symbol val="none"/>
          </c:marker>
          <c:xVal>
            <c:numRef>
              <c:f>'5'!$N$2:$N$31</c:f>
              <c:numCache>
                <c:formatCode>General</c:formatCode>
                <c:ptCount val="30"/>
                <c:pt idx="0">
                  <c:v>669.3566954642606</c:v>
                </c:pt>
                <c:pt idx="1">
                  <c:v>648.852655977768</c:v>
                </c:pt>
                <c:pt idx="2">
                  <c:v>611.2188252809992</c:v>
                </c:pt>
                <c:pt idx="3">
                  <c:v>573.3336533836158</c:v>
                </c:pt>
                <c:pt idx="4">
                  <c:v>535.5001320753822</c:v>
                </c:pt>
                <c:pt idx="5">
                  <c:v>497.777657774054</c:v>
                </c:pt>
                <c:pt idx="6">
                  <c:v>460.1028482633115</c:v>
                </c:pt>
                <c:pt idx="7">
                  <c:v>422.4200925018972</c:v>
                </c:pt>
                <c:pt idx="8">
                  <c:v>384.5675060402422</c:v>
                </c:pt>
                <c:pt idx="9">
                  <c:v>346.7007817922605</c:v>
                </c:pt>
                <c:pt idx="10">
                  <c:v>308.804998581068</c:v>
                </c:pt>
                <c:pt idx="11">
                  <c:v>272.145301411604</c:v>
                </c:pt>
                <c:pt idx="12">
                  <c:v>241.3956150291997</c:v>
                </c:pt>
                <c:pt idx="13">
                  <c:v>226.8399879483179</c:v>
                </c:pt>
                <c:pt idx="14">
                  <c:v>221.6530949525321</c:v>
                </c:pt>
                <c:pt idx="15">
                  <c:v>220.7213761682534</c:v>
                </c:pt>
                <c:pt idx="16">
                  <c:v>223.6694746284526</c:v>
                </c:pt>
                <c:pt idx="17">
                  <c:v>234.2421623210768</c:v>
                </c:pt>
                <c:pt idx="18">
                  <c:v>261.0840542342776</c:v>
                </c:pt>
                <c:pt idx="19">
                  <c:v>297.2778010540512</c:v>
                </c:pt>
                <c:pt idx="20">
                  <c:v>335.3146973345492</c:v>
                </c:pt>
                <c:pt idx="21">
                  <c:v>373.8654816119496</c:v>
                </c:pt>
                <c:pt idx="22">
                  <c:v>412.7195054145664</c:v>
                </c:pt>
                <c:pt idx="23">
                  <c:v>451.8609938646989</c:v>
                </c:pt>
                <c:pt idx="24">
                  <c:v>491.1284454293294</c:v>
                </c:pt>
                <c:pt idx="25">
                  <c:v>530.4554189692047</c:v>
                </c:pt>
                <c:pt idx="26">
                  <c:v>569.8028390845777</c:v>
                </c:pt>
                <c:pt idx="27">
                  <c:v>609.1809535647715</c:v>
                </c:pt>
                <c:pt idx="28">
                  <c:v>648.1457950813974</c:v>
                </c:pt>
                <c:pt idx="29">
                  <c:v>669.3118761714047</c:v>
                </c:pt>
              </c:numCache>
            </c:numRef>
          </c:xVal>
          <c:yVal>
            <c:numRef>
              <c:f>'5'!$O$2:$O$31</c:f>
              <c:numCache>
                <c:formatCode>General</c:formatCode>
                <c:ptCount val="30"/>
                <c:pt idx="0">
                  <c:v>-64.47520463254571</c:v>
                </c:pt>
                <c:pt idx="1">
                  <c:v>-59.0994464335383</c:v>
                </c:pt>
                <c:pt idx="2">
                  <c:v>-48.99616421364126</c:v>
                </c:pt>
                <c:pt idx="3">
                  <c:v>-38.41421983303753</c:v>
                </c:pt>
                <c:pt idx="4">
                  <c:v>-27.47744907032514</c:v>
                </c:pt>
                <c:pt idx="5">
                  <c:v>-16.17591443430083</c:v>
                </c:pt>
                <c:pt idx="6">
                  <c:v>-4.990702457556674</c:v>
                </c:pt>
                <c:pt idx="7">
                  <c:v>5.090341855749926</c:v>
                </c:pt>
                <c:pt idx="8">
                  <c:v>13.61266284681605</c:v>
                </c:pt>
                <c:pt idx="9">
                  <c:v>19.63657849556535</c:v>
                </c:pt>
                <c:pt idx="10">
                  <c:v>22.93762726051654</c:v>
                </c:pt>
                <c:pt idx="11">
                  <c:v>21.80882672563867</c:v>
                </c:pt>
                <c:pt idx="12">
                  <c:v>15.78150186727834</c:v>
                </c:pt>
                <c:pt idx="13">
                  <c:v>8.438930154120065</c:v>
                </c:pt>
                <c:pt idx="14">
                  <c:v>3.23453383995497</c:v>
                </c:pt>
                <c:pt idx="15">
                  <c:v>-1.243575215959828</c:v>
                </c:pt>
                <c:pt idx="16">
                  <c:v>-6.658613012300004</c:v>
                </c:pt>
                <c:pt idx="17">
                  <c:v>-13.87717055340147</c:v>
                </c:pt>
                <c:pt idx="18">
                  <c:v>-24.73109365726244</c:v>
                </c:pt>
                <c:pt idx="19">
                  <c:v>-33.44749153732422</c:v>
                </c:pt>
                <c:pt idx="20">
                  <c:v>-40.0925275500535</c:v>
                </c:pt>
                <c:pt idx="21">
                  <c:v>-45.57374705579737</c:v>
                </c:pt>
                <c:pt idx="22">
                  <c:v>-50.03190233636155</c:v>
                </c:pt>
                <c:pt idx="23">
                  <c:v>-53.69749820078908</c:v>
                </c:pt>
                <c:pt idx="24">
                  <c:v>-56.74149473429142</c:v>
                </c:pt>
                <c:pt idx="25">
                  <c:v>-59.21289508007895</c:v>
                </c:pt>
                <c:pt idx="26">
                  <c:v>-61.26947436995122</c:v>
                </c:pt>
                <c:pt idx="27">
                  <c:v>-62.86029600392186</c:v>
                </c:pt>
                <c:pt idx="28">
                  <c:v>-64.12485458542348</c:v>
                </c:pt>
                <c:pt idx="29">
                  <c:v>-64.79247617953769</c:v>
                </c:pt>
              </c:numCache>
            </c:numRef>
          </c:yVal>
          <c:smooth val="1"/>
        </c:ser>
        <c:ser>
          <c:idx val="5"/>
          <c:order val="5"/>
          <c:spPr>
            <a:ln>
              <a:solidFill>
                <a:srgbClr val="4F81BD"/>
              </a:solidFill>
            </a:ln>
          </c:spPr>
          <c:marker>
            <c:symbol val="none"/>
          </c:marker>
          <c:xVal>
            <c:numRef>
              <c:f>'6'!$N$2:$N$31</c:f>
              <c:numCache>
                <c:formatCode>General</c:formatCode>
                <c:ptCount val="30"/>
                <c:pt idx="0">
                  <c:v>685.1012311709478</c:v>
                </c:pt>
                <c:pt idx="1">
                  <c:v>666.61703914319</c:v>
                </c:pt>
                <c:pt idx="2">
                  <c:v>632.2114012242868</c:v>
                </c:pt>
                <c:pt idx="3">
                  <c:v>597.498938877512</c:v>
                </c:pt>
                <c:pt idx="4">
                  <c:v>562.8150085162251</c:v>
                </c:pt>
                <c:pt idx="5">
                  <c:v>528.2124909140432</c:v>
                </c:pt>
                <c:pt idx="6">
                  <c:v>493.6484755558141</c:v>
                </c:pt>
                <c:pt idx="7">
                  <c:v>459.0894222447707</c:v>
                </c:pt>
                <c:pt idx="8">
                  <c:v>424.4163999870156</c:v>
                </c:pt>
                <c:pt idx="9">
                  <c:v>389.771854829329</c:v>
                </c:pt>
                <c:pt idx="10">
                  <c:v>355.1781157380303</c:v>
                </c:pt>
                <c:pt idx="11">
                  <c:v>321.7904705256025</c:v>
                </c:pt>
                <c:pt idx="12">
                  <c:v>294.2421987042341</c:v>
                </c:pt>
                <c:pt idx="13">
                  <c:v>281.3382595863918</c:v>
                </c:pt>
                <c:pt idx="14">
                  <c:v>276.6736555271769</c:v>
                </c:pt>
                <c:pt idx="15">
                  <c:v>275.8908166774768</c:v>
                </c:pt>
                <c:pt idx="16">
                  <c:v>278.7005788960213</c:v>
                </c:pt>
                <c:pt idx="17">
                  <c:v>288.3691876189391</c:v>
                </c:pt>
                <c:pt idx="18">
                  <c:v>312.7321785413681</c:v>
                </c:pt>
                <c:pt idx="19">
                  <c:v>345.6955530722042</c:v>
                </c:pt>
                <c:pt idx="20">
                  <c:v>380.3765846113858</c:v>
                </c:pt>
                <c:pt idx="21">
                  <c:v>415.5635762757512</c:v>
                </c:pt>
                <c:pt idx="22">
                  <c:v>451.0435098076618</c:v>
                </c:pt>
                <c:pt idx="23">
                  <c:v>486.7839998714767</c:v>
                </c:pt>
                <c:pt idx="24">
                  <c:v>522.6442122350059</c:v>
                </c:pt>
                <c:pt idx="25">
                  <c:v>558.5628964554365</c:v>
                </c:pt>
                <c:pt idx="26">
                  <c:v>594.5032769357044</c:v>
                </c:pt>
                <c:pt idx="27">
                  <c:v>630.4665196766475</c:v>
                </c:pt>
                <c:pt idx="28">
                  <c:v>666.0042881749387</c:v>
                </c:pt>
                <c:pt idx="29">
                  <c:v>685.0529723992998</c:v>
                </c:pt>
              </c:numCache>
            </c:numRef>
          </c:xVal>
          <c:yVal>
            <c:numRef>
              <c:f>'6'!$O$2:$O$31</c:f>
              <c:numCache>
                <c:formatCode>General</c:formatCode>
                <c:ptCount val="30"/>
                <c:pt idx="0">
                  <c:v>-55.43696770013863</c:v>
                </c:pt>
                <c:pt idx="1">
                  <c:v>-50.74798180979224</c:v>
                </c:pt>
                <c:pt idx="2">
                  <c:v>-41.86984529605397</c:v>
                </c:pt>
                <c:pt idx="3">
                  <c:v>-32.63427482754857</c:v>
                </c:pt>
                <c:pt idx="4">
                  <c:v>-23.15905267691941</c:v>
                </c:pt>
                <c:pt idx="5">
                  <c:v>-13.44085698392312</c:v>
                </c:pt>
                <c:pt idx="6">
                  <c:v>-3.871211993768433</c:v>
                </c:pt>
                <c:pt idx="7">
                  <c:v>4.747460937042815</c:v>
                </c:pt>
                <c:pt idx="8">
                  <c:v>12.02906851785516</c:v>
                </c:pt>
                <c:pt idx="9">
                  <c:v>17.19141126026788</c:v>
                </c:pt>
                <c:pt idx="10">
                  <c:v>20.00123721768196</c:v>
                </c:pt>
                <c:pt idx="11">
                  <c:v>19.00706544895217</c:v>
                </c:pt>
                <c:pt idx="12">
                  <c:v>13.76987245993134</c:v>
                </c:pt>
                <c:pt idx="13">
                  <c:v>7.444109750073767</c:v>
                </c:pt>
                <c:pt idx="14">
                  <c:v>2.827549602533528</c:v>
                </c:pt>
                <c:pt idx="15">
                  <c:v>-1.250538732461893</c:v>
                </c:pt>
                <c:pt idx="16">
                  <c:v>-6.118116044041916</c:v>
                </c:pt>
                <c:pt idx="17">
                  <c:v>-12.53291080694956</c:v>
                </c:pt>
                <c:pt idx="18">
                  <c:v>-22.06421451433573</c:v>
                </c:pt>
                <c:pt idx="19">
                  <c:v>-29.76230808819332</c:v>
                </c:pt>
                <c:pt idx="20">
                  <c:v>-35.57715969919109</c:v>
                </c:pt>
                <c:pt idx="21">
                  <c:v>-40.29991692700133</c:v>
                </c:pt>
                <c:pt idx="22">
                  <c:v>-44.08768021679923</c:v>
                </c:pt>
                <c:pt idx="23">
                  <c:v>-47.15434817135169</c:v>
                </c:pt>
                <c:pt idx="24">
                  <c:v>-49.65737528181597</c:v>
                </c:pt>
                <c:pt idx="25">
                  <c:v>-51.64975404352003</c:v>
                </c:pt>
                <c:pt idx="26">
                  <c:v>-53.26384263873122</c:v>
                </c:pt>
                <c:pt idx="27">
                  <c:v>-54.46230631470996</c:v>
                </c:pt>
                <c:pt idx="28">
                  <c:v>-55.35448073062772</c:v>
                </c:pt>
                <c:pt idx="29">
                  <c:v>-55.7983307457301</c:v>
                </c:pt>
              </c:numCache>
            </c:numRef>
          </c:yVal>
          <c:smooth val="1"/>
        </c:ser>
        <c:ser>
          <c:idx val="6"/>
          <c:order val="6"/>
          <c:marker>
            <c:symbol val="none"/>
          </c:marker>
          <c:xVal>
            <c:numRef>
              <c:f>'7'!$N$2:$N$31</c:f>
              <c:numCache>
                <c:formatCode>General</c:formatCode>
                <c:ptCount val="30"/>
                <c:pt idx="0">
                  <c:v>700.8438316299037</c:v>
                </c:pt>
                <c:pt idx="1">
                  <c:v>684.3294243039483</c:v>
                </c:pt>
                <c:pt idx="2">
                  <c:v>653.1517178897739</c:v>
                </c:pt>
                <c:pt idx="3">
                  <c:v>621.626969780447</c:v>
                </c:pt>
                <c:pt idx="4">
                  <c:v>590.1118071339224</c:v>
                </c:pt>
                <c:pt idx="5">
                  <c:v>558.6529171046611</c:v>
                </c:pt>
                <c:pt idx="6">
                  <c:v>527.2256563673424</c:v>
                </c:pt>
                <c:pt idx="7">
                  <c:v>495.8165934955629</c:v>
                </c:pt>
                <c:pt idx="8">
                  <c:v>464.34518901106</c:v>
                </c:pt>
                <c:pt idx="9">
                  <c:v>432.9422245714686</c:v>
                </c:pt>
                <c:pt idx="10">
                  <c:v>401.6616733479296</c:v>
                </c:pt>
                <c:pt idx="11">
                  <c:v>371.5520614144133</c:v>
                </c:pt>
                <c:pt idx="12">
                  <c:v>347.1339673533707</c:v>
                </c:pt>
                <c:pt idx="13">
                  <c:v>335.8319463743089</c:v>
                </c:pt>
                <c:pt idx="14">
                  <c:v>331.6941076680017</c:v>
                </c:pt>
                <c:pt idx="15">
                  <c:v>331.063160871532</c:v>
                </c:pt>
                <c:pt idx="16">
                  <c:v>333.7276817920361</c:v>
                </c:pt>
                <c:pt idx="17">
                  <c:v>342.505698967642</c:v>
                </c:pt>
                <c:pt idx="18">
                  <c:v>364.4346762955222</c:v>
                </c:pt>
                <c:pt idx="19">
                  <c:v>394.1905122285652</c:v>
                </c:pt>
                <c:pt idx="20">
                  <c:v>425.5235076276282</c:v>
                </c:pt>
                <c:pt idx="21">
                  <c:v>457.3422755939232</c:v>
                </c:pt>
                <c:pt idx="22">
                  <c:v>489.4367064057774</c:v>
                </c:pt>
                <c:pt idx="23">
                  <c:v>521.7622279775006</c:v>
                </c:pt>
                <c:pt idx="24">
                  <c:v>554.1981040015905</c:v>
                </c:pt>
                <c:pt idx="25">
                  <c:v>586.6887783344814</c:v>
                </c:pt>
                <c:pt idx="26">
                  <c:v>619.2003215372338</c:v>
                </c:pt>
                <c:pt idx="27">
                  <c:v>651.7264304654761</c:v>
                </c:pt>
                <c:pt idx="28">
                  <c:v>683.8231439024651</c:v>
                </c:pt>
                <c:pt idx="29">
                  <c:v>700.7962793784647</c:v>
                </c:pt>
              </c:numCache>
            </c:numRef>
          </c:xVal>
          <c:yVal>
            <c:numRef>
              <c:f>'7'!$O$2:$O$31</c:f>
              <c:numCache>
                <c:formatCode>General</c:formatCode>
                <c:ptCount val="30"/>
                <c:pt idx="0">
                  <c:v>-45.40435152391419</c:v>
                </c:pt>
                <c:pt idx="1">
                  <c:v>-41.43259578597005</c:v>
                </c:pt>
                <c:pt idx="2">
                  <c:v>-33.857371448783</c:v>
                </c:pt>
                <c:pt idx="3">
                  <c:v>-26.03320604924646</c:v>
                </c:pt>
                <c:pt idx="4">
                  <c:v>-18.06838946193612</c:v>
                </c:pt>
                <c:pt idx="5">
                  <c:v>-9.964898581191422</c:v>
                </c:pt>
                <c:pt idx="6">
                  <c:v>-2.033618567701158</c:v>
                </c:pt>
                <c:pt idx="7">
                  <c:v>5.08980173904505</c:v>
                </c:pt>
                <c:pt idx="8">
                  <c:v>11.08246113635595</c:v>
                </c:pt>
                <c:pt idx="9">
                  <c:v>15.30605020545797</c:v>
                </c:pt>
                <c:pt idx="10">
                  <c:v>17.52508616249567</c:v>
                </c:pt>
                <c:pt idx="11">
                  <c:v>16.52850974501104</c:v>
                </c:pt>
                <c:pt idx="12">
                  <c:v>11.93455575522353</c:v>
                </c:pt>
                <c:pt idx="13">
                  <c:v>6.51314613100085</c:v>
                </c:pt>
                <c:pt idx="14">
                  <c:v>2.445182991956072</c:v>
                </c:pt>
                <c:pt idx="15">
                  <c:v>-1.232740119110413</c:v>
                </c:pt>
                <c:pt idx="16">
                  <c:v>-5.549784883840994</c:v>
                </c:pt>
                <c:pt idx="17">
                  <c:v>-11.15047604215666</c:v>
                </c:pt>
                <c:pt idx="18">
                  <c:v>-19.33031641091878</c:v>
                </c:pt>
                <c:pt idx="19">
                  <c:v>-25.92453010492284</c:v>
                </c:pt>
                <c:pt idx="20">
                  <c:v>-30.81650719026888</c:v>
                </c:pt>
                <c:pt idx="21">
                  <c:v>-34.69236275117445</c:v>
                </c:pt>
                <c:pt idx="22">
                  <c:v>-37.72096339066557</c:v>
                </c:pt>
                <c:pt idx="23">
                  <c:v>-40.09916017223482</c:v>
                </c:pt>
                <c:pt idx="24">
                  <c:v>-41.97091323290904</c:v>
                </c:pt>
                <c:pt idx="25">
                  <c:v>-43.39177619676386</c:v>
                </c:pt>
                <c:pt idx="26">
                  <c:v>-44.47103056303354</c:v>
                </c:pt>
                <c:pt idx="27">
                  <c:v>-45.18331431112551</c:v>
                </c:pt>
                <c:pt idx="28">
                  <c:v>-45.61380481410104</c:v>
                </c:pt>
                <c:pt idx="29">
                  <c:v>-45.79561978974922</c:v>
                </c:pt>
              </c:numCache>
            </c:numRef>
          </c:yVal>
          <c:smooth val="1"/>
        </c:ser>
        <c:ser>
          <c:idx val="7"/>
          <c:order val="7"/>
          <c:spPr>
            <a:ln>
              <a:solidFill>
                <a:srgbClr val="4F81BD"/>
              </a:solidFill>
            </a:ln>
          </c:spPr>
          <c:marker>
            <c:symbol val="none"/>
          </c:marker>
          <c:xVal>
            <c:numRef>
              <c:f>'8'!$N$2:$N$31</c:f>
              <c:numCache>
                <c:formatCode>General</c:formatCode>
                <c:ptCount val="30"/>
                <c:pt idx="0">
                  <c:v>716.5845237776273</c:v>
                </c:pt>
                <c:pt idx="1">
                  <c:v>701.9919152244264</c:v>
                </c:pt>
                <c:pt idx="2">
                  <c:v>674.0459195242884</c:v>
                </c:pt>
                <c:pt idx="3">
                  <c:v>645.7286698890523</c:v>
                </c:pt>
                <c:pt idx="4">
                  <c:v>617.4069020955999</c:v>
                </c:pt>
                <c:pt idx="5">
                  <c:v>589.1214743896516</c:v>
                </c:pt>
                <c:pt idx="6">
                  <c:v>560.8631956088352</c:v>
                </c:pt>
                <c:pt idx="7">
                  <c:v>532.6355397790548</c:v>
                </c:pt>
                <c:pt idx="8">
                  <c:v>504.3912671574828</c:v>
                </c:pt>
                <c:pt idx="9">
                  <c:v>476.2500199635142</c:v>
                </c:pt>
                <c:pt idx="10">
                  <c:v>448.2917313627212</c:v>
                </c:pt>
                <c:pt idx="11">
                  <c:v>421.4596191771655</c:v>
                </c:pt>
                <c:pt idx="12">
                  <c:v>400.0896520946805</c:v>
                </c:pt>
                <c:pt idx="13">
                  <c:v>390.3298983604002</c:v>
                </c:pt>
                <c:pt idx="14">
                  <c:v>386.7177572311433</c:v>
                </c:pt>
                <c:pt idx="15">
                  <c:v>386.2379246058399</c:v>
                </c:pt>
                <c:pt idx="16">
                  <c:v>388.7460162605355</c:v>
                </c:pt>
                <c:pt idx="17">
                  <c:v>396.6419599600275</c:v>
                </c:pt>
                <c:pt idx="18">
                  <c:v>416.1755530811977</c:v>
                </c:pt>
                <c:pt idx="19">
                  <c:v>442.7439894802991</c:v>
                </c:pt>
                <c:pt idx="20">
                  <c:v>470.7360181391739</c:v>
                </c:pt>
                <c:pt idx="21">
                  <c:v>499.182223453985</c:v>
                </c:pt>
                <c:pt idx="22">
                  <c:v>527.880677055136</c:v>
                </c:pt>
                <c:pt idx="23">
                  <c:v>556.7788837375053</c:v>
                </c:pt>
                <c:pt idx="24">
                  <c:v>585.7754778181097</c:v>
                </c:pt>
                <c:pt idx="25">
                  <c:v>614.8210887517859</c:v>
                </c:pt>
                <c:pt idx="26">
                  <c:v>643.8849976096848</c:v>
                </c:pt>
                <c:pt idx="27">
                  <c:v>672.9551318991673</c:v>
                </c:pt>
                <c:pt idx="28">
                  <c:v>701.6004202022611</c:v>
                </c:pt>
                <c:pt idx="29">
                  <c:v>716.5418833642675</c:v>
                </c:pt>
              </c:numCache>
            </c:numRef>
          </c:xVal>
          <c:yVal>
            <c:numRef>
              <c:f>'8'!$O$2:$O$31</c:f>
              <c:numCache>
                <c:formatCode>General</c:formatCode>
                <c:ptCount val="30"/>
                <c:pt idx="0">
                  <c:v>-34.77815812080686</c:v>
                </c:pt>
                <c:pt idx="1">
                  <c:v>-31.53393050753272</c:v>
                </c:pt>
                <c:pt idx="2">
                  <c:v>-25.30439936819284</c:v>
                </c:pt>
                <c:pt idx="3">
                  <c:v>-18.92159461143652</c:v>
                </c:pt>
                <c:pt idx="4">
                  <c:v>-12.48091535309046</c:v>
                </c:pt>
                <c:pt idx="5">
                  <c:v>-5.988369007063168</c:v>
                </c:pt>
                <c:pt idx="6">
                  <c:v>0.316794835289338</c:v>
                </c:pt>
                <c:pt idx="7">
                  <c:v>5.946762552219914</c:v>
                </c:pt>
                <c:pt idx="8">
                  <c:v>10.63663658707297</c:v>
                </c:pt>
                <c:pt idx="9">
                  <c:v>13.8778998669691</c:v>
                </c:pt>
                <c:pt idx="10">
                  <c:v>15.43950188709466</c:v>
                </c:pt>
                <c:pt idx="11">
                  <c:v>14.33400352522629</c:v>
                </c:pt>
                <c:pt idx="12">
                  <c:v>10.26202609388071</c:v>
                </c:pt>
                <c:pt idx="13">
                  <c:v>5.643495952644855</c:v>
                </c:pt>
                <c:pt idx="14">
                  <c:v>2.087596032562075</c:v>
                </c:pt>
                <c:pt idx="15">
                  <c:v>-1.190547659650808</c:v>
                </c:pt>
                <c:pt idx="16">
                  <c:v>-4.957907461485324</c:v>
                </c:pt>
                <c:pt idx="17">
                  <c:v>-9.745574047819705</c:v>
                </c:pt>
                <c:pt idx="18">
                  <c:v>-16.57219434678005</c:v>
                </c:pt>
                <c:pt idx="19">
                  <c:v>-22.01074567776177</c:v>
                </c:pt>
                <c:pt idx="20">
                  <c:v>-25.92159608848846</c:v>
                </c:pt>
                <c:pt idx="21">
                  <c:v>-28.89642028125832</c:v>
                </c:pt>
                <c:pt idx="22">
                  <c:v>-31.11121695641107</c:v>
                </c:pt>
                <c:pt idx="23">
                  <c:v>-32.74549300944003</c:v>
                </c:pt>
                <c:pt idx="24">
                  <c:v>-33.92962227796334</c:v>
                </c:pt>
                <c:pt idx="25">
                  <c:v>-34.72025128497268</c:v>
                </c:pt>
                <c:pt idx="26">
                  <c:v>-35.20595994358365</c:v>
                </c:pt>
                <c:pt idx="27">
                  <c:v>-35.37175055281489</c:v>
                </c:pt>
                <c:pt idx="28">
                  <c:v>-35.28451792757003</c:v>
                </c:pt>
                <c:pt idx="29">
                  <c:v>-35.18521284067595</c:v>
                </c:pt>
              </c:numCache>
            </c:numRef>
          </c:yVal>
          <c:smooth val="1"/>
        </c:ser>
        <c:ser>
          <c:idx val="8"/>
          <c:order val="8"/>
          <c:spPr>
            <a:ln>
              <a:solidFill>
                <a:srgbClr val="4F81BD"/>
              </a:solidFill>
            </a:ln>
          </c:spPr>
          <c:marker>
            <c:symbol val="none"/>
          </c:marker>
          <c:xVal>
            <c:numRef>
              <c:f>'9'!$N$2:$N$31</c:f>
              <c:numCache>
                <c:formatCode>General</c:formatCode>
                <c:ptCount val="30"/>
                <c:pt idx="0">
                  <c:v>732.3234865835412</c:v>
                </c:pt>
                <c:pt idx="1">
                  <c:v>719.606932851583</c:v>
                </c:pt>
                <c:pt idx="2">
                  <c:v>694.9007629801211</c:v>
                </c:pt>
                <c:pt idx="3">
                  <c:v>669.8155682286299</c:v>
                </c:pt>
                <c:pt idx="4">
                  <c:v>644.7169566503754</c:v>
                </c:pt>
                <c:pt idx="5">
                  <c:v>619.6403414003788</c:v>
                </c:pt>
                <c:pt idx="6">
                  <c:v>594.588700384221</c:v>
                </c:pt>
                <c:pt idx="7">
                  <c:v>569.5782588321356</c:v>
                </c:pt>
                <c:pt idx="8">
                  <c:v>544.5895334665233</c:v>
                </c:pt>
                <c:pt idx="9">
                  <c:v>519.7306824663291</c:v>
                </c:pt>
                <c:pt idx="10">
                  <c:v>495.1017134065821</c:v>
                </c:pt>
                <c:pt idx="11">
                  <c:v>471.5405525037345</c:v>
                </c:pt>
                <c:pt idx="12">
                  <c:v>453.1268373642451</c:v>
                </c:pt>
                <c:pt idx="13">
                  <c:v>444.8408239459111</c:v>
                </c:pt>
                <c:pt idx="14">
                  <c:v>441.7477669494932</c:v>
                </c:pt>
                <c:pt idx="15">
                  <c:v>441.4140103481368</c:v>
                </c:pt>
                <c:pt idx="16">
                  <c:v>443.7498622278295</c:v>
                </c:pt>
                <c:pt idx="17">
                  <c:v>450.7669693568565</c:v>
                </c:pt>
                <c:pt idx="18">
                  <c:v>467.9373179055152</c:v>
                </c:pt>
                <c:pt idx="19">
                  <c:v>491.3352749096709</c:v>
                </c:pt>
                <c:pt idx="20">
                  <c:v>515.9923470234112</c:v>
                </c:pt>
                <c:pt idx="21">
                  <c:v>541.0617227142643</c:v>
                </c:pt>
                <c:pt idx="22">
                  <c:v>566.35477966356</c:v>
                </c:pt>
                <c:pt idx="23">
                  <c:v>591.8151504645596</c:v>
                </c:pt>
                <c:pt idx="24">
                  <c:v>617.3599334727201</c:v>
                </c:pt>
                <c:pt idx="25">
                  <c:v>642.9463835675196</c:v>
                </c:pt>
                <c:pt idx="26">
                  <c:v>668.5472022405099</c:v>
                </c:pt>
                <c:pt idx="27">
                  <c:v>694.146299101493</c:v>
                </c:pt>
                <c:pt idx="28">
                  <c:v>719.3338144769748</c:v>
                </c:pt>
                <c:pt idx="29">
                  <c:v>732.2896882320103</c:v>
                </c:pt>
              </c:numCache>
            </c:numRef>
          </c:xVal>
          <c:yVal>
            <c:numRef>
              <c:f>'9'!$O$2:$O$31</c:f>
              <c:numCache>
                <c:formatCode>General</c:formatCode>
                <c:ptCount val="30"/>
                <c:pt idx="0">
                  <c:v>-24.00652510050333</c:v>
                </c:pt>
                <c:pt idx="1">
                  <c:v>-21.47879236516302</c:v>
                </c:pt>
                <c:pt idx="2">
                  <c:v>-16.59851385369351</c:v>
                </c:pt>
                <c:pt idx="3">
                  <c:v>-11.6474806393388</c:v>
                </c:pt>
                <c:pt idx="4">
                  <c:v>-6.705132628954976</c:v>
                </c:pt>
                <c:pt idx="5">
                  <c:v>-1.780298483349894</c:v>
                </c:pt>
                <c:pt idx="6">
                  <c:v>2.950339472357855</c:v>
                </c:pt>
                <c:pt idx="7">
                  <c:v>7.127660884998234</c:v>
                </c:pt>
                <c:pt idx="8">
                  <c:v>10.53960564477159</c:v>
                </c:pt>
                <c:pt idx="9">
                  <c:v>12.79293645434941</c:v>
                </c:pt>
                <c:pt idx="10">
                  <c:v>13.6676081102083</c:v>
                </c:pt>
                <c:pt idx="11">
                  <c:v>12.381279027621</c:v>
                </c:pt>
                <c:pt idx="12">
                  <c:v>8.737500286704852</c:v>
                </c:pt>
                <c:pt idx="13">
                  <c:v>4.832025037100749</c:v>
                </c:pt>
                <c:pt idx="14">
                  <c:v>1.754855280665205</c:v>
                </c:pt>
                <c:pt idx="15">
                  <c:v>-1.124613402252626</c:v>
                </c:pt>
                <c:pt idx="16">
                  <c:v>-4.347822996658637</c:v>
                </c:pt>
                <c:pt idx="17">
                  <c:v>-8.336076718183623</c:v>
                </c:pt>
                <c:pt idx="18">
                  <c:v>-13.83691662652471</c:v>
                </c:pt>
                <c:pt idx="19">
                  <c:v>-18.10547157773804</c:v>
                </c:pt>
                <c:pt idx="20">
                  <c:v>-21.01539945514876</c:v>
                </c:pt>
                <c:pt idx="21">
                  <c:v>-23.07355112777336</c:v>
                </c:pt>
                <c:pt idx="22">
                  <c:v>-24.45830507510573</c:v>
                </c:pt>
                <c:pt idx="23">
                  <c:v>-25.33160227137625</c:v>
                </c:pt>
                <c:pt idx="24">
                  <c:v>-25.81004676456852</c:v>
                </c:pt>
                <c:pt idx="25">
                  <c:v>-25.94987246851537</c:v>
                </c:pt>
                <c:pt idx="26">
                  <c:v>-25.82134144061841</c:v>
                </c:pt>
                <c:pt idx="27">
                  <c:v>-25.41821348619143</c:v>
                </c:pt>
                <c:pt idx="28">
                  <c:v>-24.79459235055457</c:v>
                </c:pt>
                <c:pt idx="29">
                  <c:v>-24.41539241683971</c:v>
                </c:pt>
              </c:numCache>
            </c:numRef>
          </c:yVal>
          <c:smooth val="1"/>
        </c:ser>
        <c:ser>
          <c:idx val="9"/>
          <c:order val="9"/>
          <c:spPr>
            <a:ln>
              <a:solidFill>
                <a:srgbClr val="4F81BD"/>
              </a:solidFill>
            </a:ln>
          </c:spPr>
          <c:marker>
            <c:symbol val="none"/>
          </c:marker>
          <c:xVal>
            <c:numRef>
              <c:f>'10'!$N$2:$N$31</c:f>
              <c:numCache>
                <c:formatCode>General</c:formatCode>
                <c:ptCount val="30"/>
                <c:pt idx="0">
                  <c:v>748.0610840295377</c:v>
                </c:pt>
                <c:pt idx="1">
                  <c:v>737.1773154566478</c:v>
                </c:pt>
                <c:pt idx="2">
                  <c:v>715.72384297799</c:v>
                </c:pt>
                <c:pt idx="3">
                  <c:v>693.9000958851821</c:v>
                </c:pt>
                <c:pt idx="4">
                  <c:v>672.0592356548682</c:v>
                </c:pt>
                <c:pt idx="5">
                  <c:v>650.2316053018618</c:v>
                </c:pt>
                <c:pt idx="6">
                  <c:v>628.4287642542773</c:v>
                </c:pt>
                <c:pt idx="7">
                  <c:v>606.674917274772</c:v>
                </c:pt>
                <c:pt idx="8">
                  <c:v>584.9724298154698</c:v>
                </c:pt>
                <c:pt idx="9">
                  <c:v>563.4169739147378</c:v>
                </c:pt>
                <c:pt idx="10">
                  <c:v>542.1223939269391</c:v>
                </c:pt>
                <c:pt idx="11">
                  <c:v>521.8201282069361</c:v>
                </c:pt>
                <c:pt idx="12">
                  <c:v>506.2620019558961</c:v>
                </c:pt>
                <c:pt idx="13">
                  <c:v>499.3733949892346</c:v>
                </c:pt>
                <c:pt idx="14">
                  <c:v>496.7871763688835</c:v>
                </c:pt>
                <c:pt idx="15">
                  <c:v>496.589568373743</c:v>
                </c:pt>
                <c:pt idx="16">
                  <c:v>498.732269496505</c:v>
                </c:pt>
                <c:pt idx="17">
                  <c:v>504.8680411322967</c:v>
                </c:pt>
                <c:pt idx="18">
                  <c:v>519.700417824573</c:v>
                </c:pt>
                <c:pt idx="19">
                  <c:v>539.9409187991829</c:v>
                </c:pt>
                <c:pt idx="20">
                  <c:v>561.2676094706504</c:v>
                </c:pt>
                <c:pt idx="21">
                  <c:v>582.9559374888491</c:v>
                </c:pt>
                <c:pt idx="22">
                  <c:v>604.835389922804</c:v>
                </c:pt>
                <c:pt idx="23">
                  <c:v>626.8494990085492</c:v>
                </c:pt>
                <c:pt idx="24">
                  <c:v>648.9327129131676</c:v>
                </c:pt>
                <c:pt idx="25">
                  <c:v>671.049252546</c:v>
                </c:pt>
                <c:pt idx="26">
                  <c:v>693.1753259680554</c:v>
                </c:pt>
                <c:pt idx="27">
                  <c:v>715.2925862255006</c:v>
                </c:pt>
                <c:pt idx="28">
                  <c:v>737.0205566399693</c:v>
                </c:pt>
                <c:pt idx="29">
                  <c:v>748.0385852767745</c:v>
                </c:pt>
              </c:numCache>
            </c:numRef>
          </c:xVal>
          <c:yVal>
            <c:numRef>
              <c:f>'10'!$O$2:$O$31</c:f>
              <c:numCache>
                <c:formatCode>General</c:formatCode>
                <c:ptCount val="30"/>
                <c:pt idx="0">
                  <c:v>-13.59515209134897</c:v>
                </c:pt>
                <c:pt idx="1">
                  <c:v>-11.7501222496988</c:v>
                </c:pt>
                <c:pt idx="2">
                  <c:v>-8.178396797434402</c:v>
                </c:pt>
                <c:pt idx="3">
                  <c:v>-4.604687207142565</c:v>
                </c:pt>
                <c:pt idx="4">
                  <c:v>-1.09007153585136</c:v>
                </c:pt>
                <c:pt idx="5">
                  <c:v>2.354938968552018</c:v>
                </c:pt>
                <c:pt idx="6">
                  <c:v>5.607117395566361</c:v>
                </c:pt>
                <c:pt idx="7">
                  <c:v>8.416790751352388</c:v>
                </c:pt>
                <c:pt idx="8">
                  <c:v>10.6195295714165</c:v>
                </c:pt>
                <c:pt idx="9">
                  <c:v>11.92256165801348</c:v>
                </c:pt>
                <c:pt idx="10">
                  <c:v>12.12311481308104</c:v>
                </c:pt>
                <c:pt idx="11">
                  <c:v>10.62371382891863</c:v>
                </c:pt>
                <c:pt idx="12">
                  <c:v>7.344320396215853</c:v>
                </c:pt>
                <c:pt idx="13">
                  <c:v>4.074712587052487</c:v>
                </c:pt>
                <c:pt idx="14">
                  <c:v>1.446854782735742</c:v>
                </c:pt>
                <c:pt idx="15">
                  <c:v>-1.035870424814225</c:v>
                </c:pt>
                <c:pt idx="16">
                  <c:v>-3.725953815546249</c:v>
                </c:pt>
                <c:pt idx="17">
                  <c:v>-6.942174588241262</c:v>
                </c:pt>
                <c:pt idx="18">
                  <c:v>-11.17633672693952</c:v>
                </c:pt>
                <c:pt idx="19">
                  <c:v>-14.30237647224629</c:v>
                </c:pt>
                <c:pt idx="20">
                  <c:v>-16.23489333455423</c:v>
                </c:pt>
                <c:pt idx="21">
                  <c:v>-17.4042949653618</c:v>
                </c:pt>
                <c:pt idx="22">
                  <c:v>-17.98638172931495</c:v>
                </c:pt>
                <c:pt idx="23">
                  <c:v>-18.1252941455126</c:v>
                </c:pt>
                <c:pt idx="24">
                  <c:v>-17.92359953482784</c:v>
                </c:pt>
                <c:pt idx="25">
                  <c:v>-17.43557644100328</c:v>
                </c:pt>
                <c:pt idx="26">
                  <c:v>-16.71552899119838</c:v>
                </c:pt>
                <c:pt idx="27">
                  <c:v>-15.76434660544913</c:v>
                </c:pt>
                <c:pt idx="28">
                  <c:v>-14.62814354712059</c:v>
                </c:pt>
                <c:pt idx="29">
                  <c:v>-14.00656307531243</c:v>
                </c:pt>
              </c:numCache>
            </c:numRef>
          </c:yVal>
          <c:smooth val="1"/>
        </c:ser>
        <c:ser>
          <c:idx val="10"/>
          <c:order val="10"/>
          <c:spPr>
            <a:ln>
              <a:solidFill>
                <a:srgbClr val="4F81BD"/>
              </a:solidFill>
            </a:ln>
          </c:spPr>
          <c:marker>
            <c:symbol val="none"/>
          </c:marker>
          <c:xVal>
            <c:numRef>
              <c:f>'11'!$N$2:$N$31</c:f>
              <c:numCache>
                <c:formatCode>General</c:formatCode>
                <c:ptCount val="30"/>
                <c:pt idx="0">
                  <c:v>763.7979252846991</c:v>
                </c:pt>
                <c:pt idx="1">
                  <c:v>754.7065466034501</c:v>
                </c:pt>
                <c:pt idx="2">
                  <c:v>736.5241365062217</c:v>
                </c:pt>
                <c:pt idx="3">
                  <c:v>717.9963666418907</c:v>
                </c:pt>
                <c:pt idx="4">
                  <c:v>699.4525365293633</c:v>
                </c:pt>
                <c:pt idx="5">
                  <c:v>680.9182501631631</c:v>
                </c:pt>
                <c:pt idx="6">
                  <c:v>662.409944693683</c:v>
                </c:pt>
                <c:pt idx="7">
                  <c:v>643.954799067725</c:v>
                </c:pt>
                <c:pt idx="8">
                  <c:v>625.5708461029882</c:v>
                </c:pt>
                <c:pt idx="9">
                  <c:v>607.339843986996</c:v>
                </c:pt>
                <c:pt idx="10">
                  <c:v>589.3826819591292</c:v>
                </c:pt>
                <c:pt idx="11">
                  <c:v>572.32212252619</c:v>
                </c:pt>
                <c:pt idx="12">
                  <c:v>559.5110123301881</c:v>
                </c:pt>
                <c:pt idx="13">
                  <c:v>553.9366347111439</c:v>
                </c:pt>
                <c:pt idx="14">
                  <c:v>551.8390118400969</c:v>
                </c:pt>
                <c:pt idx="15">
                  <c:v>551.7617352040231</c:v>
                </c:pt>
                <c:pt idx="16">
                  <c:v>553.684450520386</c:v>
                </c:pt>
                <c:pt idx="17">
                  <c:v>558.9298280099327</c:v>
                </c:pt>
                <c:pt idx="18">
                  <c:v>571.441858758607</c:v>
                </c:pt>
                <c:pt idx="19">
                  <c:v>588.5330147805751</c:v>
                </c:pt>
                <c:pt idx="20">
                  <c:v>606.5319340722563</c:v>
                </c:pt>
                <c:pt idx="21">
                  <c:v>624.8350190474464</c:v>
                </c:pt>
                <c:pt idx="22">
                  <c:v>643.2941194355797</c:v>
                </c:pt>
                <c:pt idx="23">
                  <c:v>661.8560651514597</c:v>
                </c:pt>
                <c:pt idx="24">
                  <c:v>680.4712877857265</c:v>
                </c:pt>
                <c:pt idx="25">
                  <c:v>699.1111521421523</c:v>
                </c:pt>
                <c:pt idx="26">
                  <c:v>717.7553674795912</c:v>
                </c:pt>
                <c:pt idx="27">
                  <c:v>736.3850503506773</c:v>
                </c:pt>
                <c:pt idx="28">
                  <c:v>754.6571724610632</c:v>
                </c:pt>
                <c:pt idx="29">
                  <c:v>763.7903492197555</c:v>
                </c:pt>
              </c:numCache>
            </c:numRef>
          </c:xVal>
          <c:yVal>
            <c:numRef>
              <c:f>'11'!$O$2:$O$31</c:f>
              <c:numCache>
                <c:formatCode>General</c:formatCode>
                <c:ptCount val="30"/>
                <c:pt idx="0">
                  <c:v>-4.139394047343559</c:v>
                </c:pt>
                <c:pt idx="1">
                  <c:v>-2.91795814259864</c:v>
                </c:pt>
                <c:pt idx="2">
                  <c:v>-0.562159127283524</c:v>
                </c:pt>
                <c:pt idx="3">
                  <c:v>1.741580837906706</c:v>
                </c:pt>
                <c:pt idx="4">
                  <c:v>3.951858191631544</c:v>
                </c:pt>
                <c:pt idx="5">
                  <c:v>6.057532754565718</c:v>
                </c:pt>
                <c:pt idx="6">
                  <c:v>7.979697658767834</c:v>
                </c:pt>
                <c:pt idx="7">
                  <c:v>9.558885745030041</c:v>
                </c:pt>
                <c:pt idx="8">
                  <c:v>10.67297865954778</c:v>
                </c:pt>
                <c:pt idx="9">
                  <c:v>11.11467745281171</c:v>
                </c:pt>
                <c:pt idx="10">
                  <c:v>10.70419881826598</c:v>
                </c:pt>
                <c:pt idx="11">
                  <c:v>9.00695687949929</c:v>
                </c:pt>
                <c:pt idx="12">
                  <c:v>6.062489300959376</c:v>
                </c:pt>
                <c:pt idx="13">
                  <c:v>3.366056242563943</c:v>
                </c:pt>
                <c:pt idx="14">
                  <c:v>1.163196777623549</c:v>
                </c:pt>
                <c:pt idx="15">
                  <c:v>-0.92551137357627</c:v>
                </c:pt>
                <c:pt idx="16">
                  <c:v>-3.099974828621222</c:v>
                </c:pt>
                <c:pt idx="17">
                  <c:v>-5.5871486201936</c:v>
                </c:pt>
                <c:pt idx="18">
                  <c:v>-8.649421576790617</c:v>
                </c:pt>
                <c:pt idx="19">
                  <c:v>-10.70901678857493</c:v>
                </c:pt>
                <c:pt idx="20">
                  <c:v>-11.73845182061583</c:v>
                </c:pt>
                <c:pt idx="21">
                  <c:v>-12.09844882662854</c:v>
                </c:pt>
                <c:pt idx="22">
                  <c:v>-11.95693111587238</c:v>
                </c:pt>
                <c:pt idx="23">
                  <c:v>-11.43987314156904</c:v>
                </c:pt>
                <c:pt idx="24">
                  <c:v>-10.63545279951744</c:v>
                </c:pt>
                <c:pt idx="25">
                  <c:v>-9.594405051344436</c:v>
                </c:pt>
                <c:pt idx="26">
                  <c:v>-8.357371270679133</c:v>
                </c:pt>
                <c:pt idx="27">
                  <c:v>-6.930690757204965</c:v>
                </c:pt>
                <c:pt idx="28">
                  <c:v>-5.356206287431524</c:v>
                </c:pt>
                <c:pt idx="29">
                  <c:v>-4.510861397087238</c:v>
                </c:pt>
              </c:numCache>
            </c:numRef>
          </c:yVal>
          <c:smooth val="1"/>
        </c:ser>
        <c:ser>
          <c:idx val="11"/>
          <c:order val="11"/>
          <c:spPr>
            <a:ln>
              <a:solidFill>
                <a:srgbClr val="4F81BD"/>
              </a:solidFill>
            </a:ln>
          </c:spPr>
          <c:marker>
            <c:symbol val="none"/>
          </c:marker>
          <c:trendline>
            <c:trendlineType val="linear"/>
            <c:dispRSqr val="0"/>
            <c:dispEq val="0"/>
          </c:trendline>
          <c:xVal>
            <c:numRef>
              <c:f>'12'!$N$2:$N$31</c:f>
              <c:numCache>
                <c:formatCode>General</c:formatCode>
                <c:ptCount val="30"/>
                <c:pt idx="0">
                  <c:v>779.5347544068066</c:v>
                </c:pt>
                <c:pt idx="1">
                  <c:v>772.3002953817122</c:v>
                </c:pt>
                <c:pt idx="2">
                  <c:v>757.39908584653</c:v>
                </c:pt>
                <c:pt idx="3">
                  <c:v>742.1666985620601</c:v>
                </c:pt>
                <c:pt idx="4">
                  <c:v>726.9216480078613</c:v>
                </c:pt>
                <c:pt idx="5">
                  <c:v>711.684943359455</c:v>
                </c:pt>
                <c:pt idx="6">
                  <c:v>696.4760696659705</c:v>
                </c:pt>
                <c:pt idx="7">
                  <c:v>681.3184441184384</c:v>
                </c:pt>
                <c:pt idx="8">
                  <c:v>666.2480565538057</c:v>
                </c:pt>
                <c:pt idx="9">
                  <c:v>651.324076029903</c:v>
                </c:pt>
                <c:pt idx="10">
                  <c:v>636.6827959034318</c:v>
                </c:pt>
                <c:pt idx="11">
                  <c:v>622.8254504438908</c:v>
                </c:pt>
                <c:pt idx="12">
                  <c:v>612.7916952909941</c:v>
                </c:pt>
                <c:pt idx="13">
                  <c:v>608.5394004744387</c:v>
                </c:pt>
                <c:pt idx="14">
                  <c:v>606.9051330156482</c:v>
                </c:pt>
                <c:pt idx="15">
                  <c:v>606.9384488362396</c:v>
                </c:pt>
                <c:pt idx="16">
                  <c:v>608.6394159276834</c:v>
                </c:pt>
                <c:pt idx="17">
                  <c:v>612.9654134983633</c:v>
                </c:pt>
                <c:pt idx="18">
                  <c:v>623.0847699127386</c:v>
                </c:pt>
                <c:pt idx="19">
                  <c:v>636.9980043611084</c:v>
                </c:pt>
                <c:pt idx="20">
                  <c:v>651.661857655817</c:v>
                </c:pt>
                <c:pt idx="21">
                  <c:v>666.585634205308</c:v>
                </c:pt>
                <c:pt idx="22">
                  <c:v>681.6394998425861</c:v>
                </c:pt>
                <c:pt idx="23">
                  <c:v>696.7685689724684</c:v>
                </c:pt>
                <c:pt idx="24">
                  <c:v>711.9397073997728</c:v>
                </c:pt>
                <c:pt idx="25">
                  <c:v>727.1314016946457</c:v>
                </c:pt>
                <c:pt idx="26">
                  <c:v>742.3251186885454</c:v>
                </c:pt>
                <c:pt idx="27">
                  <c:v>757.500393137716</c:v>
                </c:pt>
                <c:pt idx="28">
                  <c:v>772.3397984261275</c:v>
                </c:pt>
                <c:pt idx="29">
                  <c:v>779.5418935112191</c:v>
                </c:pt>
              </c:numCache>
            </c:numRef>
          </c:xVal>
          <c:yVal>
            <c:numRef>
              <c:f>'12'!$O$2:$O$31</c:f>
              <c:numCache>
                <c:formatCode>General</c:formatCode>
                <c:ptCount val="30"/>
                <c:pt idx="0">
                  <c:v>3.581716974838895</c:v>
                </c:pt>
                <c:pt idx="1">
                  <c:v>4.262424449447472</c:v>
                </c:pt>
                <c:pt idx="2">
                  <c:v>5.540982106340606</c:v>
                </c:pt>
                <c:pt idx="3">
                  <c:v>6.693715290940481</c:v>
                </c:pt>
                <c:pt idx="4">
                  <c:v>7.699225466276838</c:v>
                </c:pt>
                <c:pt idx="5">
                  <c:v>8.544093178837967</c:v>
                </c:pt>
                <c:pt idx="6">
                  <c:v>9.204494361850056</c:v>
                </c:pt>
                <c:pt idx="7">
                  <c:v>9.63247486094998</c:v>
                </c:pt>
                <c:pt idx="8">
                  <c:v>9.756120445749484</c:v>
                </c:pt>
                <c:pt idx="9">
                  <c:v>9.46766177760467</c:v>
                </c:pt>
                <c:pt idx="10">
                  <c:v>8.605515694573473</c:v>
                </c:pt>
                <c:pt idx="11">
                  <c:v>6.911533410915876</c:v>
                </c:pt>
                <c:pt idx="12">
                  <c:v>4.537166060601916</c:v>
                </c:pt>
                <c:pt idx="13">
                  <c:v>2.57914860865033</c:v>
                </c:pt>
                <c:pt idx="14">
                  <c:v>0.850741486561136</c:v>
                </c:pt>
                <c:pt idx="15">
                  <c:v>-0.843124968486708</c:v>
                </c:pt>
                <c:pt idx="16">
                  <c:v>-2.505907626809629</c:v>
                </c:pt>
                <c:pt idx="17">
                  <c:v>-4.295137597861845</c:v>
                </c:pt>
                <c:pt idx="18">
                  <c:v>-6.272969975925919</c:v>
                </c:pt>
                <c:pt idx="19">
                  <c:v>-7.420535092368993</c:v>
                </c:pt>
                <c:pt idx="20">
                  <c:v>-7.70606995439062</c:v>
                </c:pt>
                <c:pt idx="21">
                  <c:v>-7.407240675296532</c:v>
                </c:pt>
                <c:pt idx="22">
                  <c:v>-6.690866773204964</c:v>
                </c:pt>
                <c:pt idx="23">
                  <c:v>-5.666961739406736</c:v>
                </c:pt>
                <c:pt idx="24">
                  <c:v>-4.40879989680341</c:v>
                </c:pt>
                <c:pt idx="25">
                  <c:v>-2.965219459891735</c:v>
                </c:pt>
                <c:pt idx="26">
                  <c:v>-1.360792546327842</c:v>
                </c:pt>
                <c:pt idx="27">
                  <c:v>0.39024533486859</c:v>
                </c:pt>
                <c:pt idx="28">
                  <c:v>2.253982795605027</c:v>
                </c:pt>
                <c:pt idx="29">
                  <c:v>3.218745591614357</c:v>
                </c:pt>
              </c:numCache>
            </c:numRef>
          </c:yVal>
          <c:smooth val="1"/>
        </c:ser>
        <c:ser>
          <c:idx val="12"/>
          <c:order val="12"/>
          <c:spPr>
            <a:ln>
              <a:solidFill>
                <a:srgbClr val="4F81BD"/>
              </a:solidFill>
            </a:ln>
          </c:spPr>
          <c:marker>
            <c:symbol val="none"/>
          </c:marker>
          <c:xVal>
            <c:numRef>
              <c:f>Tip!$N$2:$N$31</c:f>
              <c:numCache>
                <c:formatCode>General</c:formatCode>
                <c:ptCount val="30"/>
                <c:pt idx="0">
                  <c:v>795.2699013682055</c:v>
                </c:pt>
                <c:pt idx="1">
                  <c:v>789.6402779473066</c:v>
                </c:pt>
                <c:pt idx="2">
                  <c:v>778.0514091707993</c:v>
                </c:pt>
                <c:pt idx="3">
                  <c:v>766.2134361827749</c:v>
                </c:pt>
                <c:pt idx="4">
                  <c:v>754.373746741824</c:v>
                </c:pt>
                <c:pt idx="5">
                  <c:v>742.5493169232531</c:v>
                </c:pt>
                <c:pt idx="6">
                  <c:v>730.7565151333496</c:v>
                </c:pt>
                <c:pt idx="7">
                  <c:v>719.0160724317396</c:v>
                </c:pt>
                <c:pt idx="8">
                  <c:v>707.3597523941373</c:v>
                </c:pt>
                <c:pt idx="9">
                  <c:v>695.8392023017636</c:v>
                </c:pt>
                <c:pt idx="10">
                  <c:v>684.5686378468652</c:v>
                </c:pt>
                <c:pt idx="11">
                  <c:v>673.9496719924698</c:v>
                </c:pt>
                <c:pt idx="12">
                  <c:v>666.323680745144</c:v>
                </c:pt>
                <c:pt idx="13">
                  <c:v>663.1439797143188</c:v>
                </c:pt>
                <c:pt idx="14">
                  <c:v>661.9754468310189</c:v>
                </c:pt>
                <c:pt idx="15">
                  <c:v>662.0940764077472</c:v>
                </c:pt>
                <c:pt idx="16">
                  <c:v>663.500110545681</c:v>
                </c:pt>
                <c:pt idx="17">
                  <c:v>666.9422492523706</c:v>
                </c:pt>
                <c:pt idx="18">
                  <c:v>674.8730458815354</c:v>
                </c:pt>
                <c:pt idx="19">
                  <c:v>685.6910189034221</c:v>
                </c:pt>
                <c:pt idx="20">
                  <c:v>697.0419609490834</c:v>
                </c:pt>
                <c:pt idx="21">
                  <c:v>708.5617847379261</c:v>
                </c:pt>
                <c:pt idx="22">
                  <c:v>720.1592741895182</c:v>
                </c:pt>
                <c:pt idx="23">
                  <c:v>731.7980343967894</c:v>
                </c:pt>
                <c:pt idx="24">
                  <c:v>743.4564700334598</c:v>
                </c:pt>
                <c:pt idx="25">
                  <c:v>755.1206288728589</c:v>
                </c:pt>
                <c:pt idx="26">
                  <c:v>766.777531925177</c:v>
                </c:pt>
                <c:pt idx="27">
                  <c:v>778.4121399245244</c:v>
                </c:pt>
                <c:pt idx="28">
                  <c:v>789.7809387311418</c:v>
                </c:pt>
                <c:pt idx="29">
                  <c:v>795.2953219917901</c:v>
                </c:pt>
              </c:numCache>
            </c:numRef>
          </c:xVal>
          <c:yVal>
            <c:numRef>
              <c:f>Tip!$O$2:$O$31</c:f>
              <c:numCache>
                <c:formatCode>General</c:formatCode>
                <c:ptCount val="30"/>
                <c:pt idx="0">
                  <c:v>12.24512596757208</c:v>
                </c:pt>
                <c:pt idx="1">
                  <c:v>12.37446859314872</c:v>
                </c:pt>
                <c:pt idx="2">
                  <c:v>12.54540932694483</c:v>
                </c:pt>
                <c:pt idx="3">
                  <c:v>12.60094319122029</c:v>
                </c:pt>
                <c:pt idx="4">
                  <c:v>12.54199993346098</c:v>
                </c:pt>
                <c:pt idx="5">
                  <c:v>12.35936038033001</c:v>
                </c:pt>
                <c:pt idx="6">
                  <c:v>12.03568047260278</c:v>
                </c:pt>
                <c:pt idx="7">
                  <c:v>11.53518263653364</c:v>
                </c:pt>
                <c:pt idx="8">
                  <c:v>10.80426103679835</c:v>
                </c:pt>
                <c:pt idx="9">
                  <c:v>9.762870072176051</c:v>
                </c:pt>
                <c:pt idx="10">
                  <c:v>8.293603245744225</c:v>
                </c:pt>
                <c:pt idx="11">
                  <c:v>6.224436331173298</c:v>
                </c:pt>
                <c:pt idx="12">
                  <c:v>3.839118909363077</c:v>
                </c:pt>
                <c:pt idx="13">
                  <c:v>2.092645104659733</c:v>
                </c:pt>
                <c:pt idx="14">
                  <c:v>0.667204215344194</c:v>
                </c:pt>
                <c:pt idx="15">
                  <c:v>-0.64008888352056</c:v>
                </c:pt>
                <c:pt idx="16">
                  <c:v>-1.831902137034253</c:v>
                </c:pt>
                <c:pt idx="17">
                  <c:v>-2.97748082043171</c:v>
                </c:pt>
                <c:pt idx="18">
                  <c:v>-3.95110627917399</c:v>
                </c:pt>
                <c:pt idx="19">
                  <c:v>-4.07499023657618</c:v>
                </c:pt>
                <c:pt idx="20">
                  <c:v>-3.49148118325272</c:v>
                </c:pt>
                <c:pt idx="21">
                  <c:v>-2.442086383331246</c:v>
                </c:pt>
                <c:pt idx="22">
                  <c:v>-1.062854124363027</c:v>
                </c:pt>
                <c:pt idx="23">
                  <c:v>0.55818065359019</c:v>
                </c:pt>
                <c:pt idx="24">
                  <c:v>2.36257009166423</c:v>
                </c:pt>
                <c:pt idx="25">
                  <c:v>4.311389300812483</c:v>
                </c:pt>
                <c:pt idx="26">
                  <c:v>6.384631108863395</c:v>
                </c:pt>
                <c:pt idx="27">
                  <c:v>8.57017112835609</c:v>
                </c:pt>
                <c:pt idx="28">
                  <c:v>10.82439249020908</c:v>
                </c:pt>
                <c:pt idx="29">
                  <c:v>11.96499173210106</c:v>
                </c:pt>
              </c:numCache>
            </c:numRef>
          </c:yVal>
          <c:smooth val="1"/>
        </c:ser>
        <c:dLbls>
          <c:showLegendKey val="0"/>
          <c:showVal val="0"/>
          <c:showCatName val="0"/>
          <c:showSerName val="0"/>
          <c:showPercent val="0"/>
          <c:showBubbleSize val="0"/>
        </c:dLbls>
        <c:axId val="2110569432"/>
        <c:axId val="2110574760"/>
      </c:scatterChart>
      <c:valAx>
        <c:axId val="2110569432"/>
        <c:scaling>
          <c:orientation val="minMax"/>
          <c:min val="0.0"/>
        </c:scaling>
        <c:delete val="0"/>
        <c:axPos val="b"/>
        <c:title>
          <c:tx>
            <c:rich>
              <a:bodyPr/>
              <a:lstStyle/>
              <a:p>
                <a:pPr>
                  <a:defRPr/>
                </a:pPr>
                <a:r>
                  <a:rPr lang="en-US"/>
                  <a:t>Length [mm]</a:t>
                </a:r>
              </a:p>
            </c:rich>
          </c:tx>
          <c:overlay val="0"/>
        </c:title>
        <c:numFmt formatCode="General" sourceLinked="1"/>
        <c:majorTickMark val="out"/>
        <c:minorTickMark val="none"/>
        <c:tickLblPos val="nextTo"/>
        <c:crossAx val="2110574760"/>
        <c:crosses val="autoZero"/>
        <c:crossBetween val="midCat"/>
        <c:majorUnit val="100.0"/>
      </c:valAx>
      <c:valAx>
        <c:axId val="2110574760"/>
        <c:scaling>
          <c:orientation val="minMax"/>
          <c:max val="200.0"/>
          <c:min val="-150.0"/>
        </c:scaling>
        <c:delete val="0"/>
        <c:axPos val="l"/>
        <c:majorGridlines/>
        <c:title>
          <c:tx>
            <c:rich>
              <a:bodyPr rot="-5400000" vert="horz"/>
              <a:lstStyle/>
              <a:p>
                <a:pPr>
                  <a:defRPr/>
                </a:pPr>
                <a:r>
                  <a:rPr lang="en-US"/>
                  <a:t>Height [mm]</a:t>
                </a:r>
              </a:p>
            </c:rich>
          </c:tx>
          <c:overlay val="0"/>
        </c:title>
        <c:numFmt formatCode="General" sourceLinked="1"/>
        <c:majorTickMark val="out"/>
        <c:minorTickMark val="none"/>
        <c:tickLblPos val="nextTo"/>
        <c:crossAx val="2110569432"/>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Twist vs Span Position</a:t>
            </a:r>
          </a:p>
        </c:rich>
      </c:tx>
      <c:overlay val="1"/>
    </c:title>
    <c:autoTitleDeleted val="0"/>
    <c:plotArea>
      <c:layout/>
      <c:scatterChart>
        <c:scatterStyle val="smoothMarker"/>
        <c:varyColors val="0"/>
        <c:ser>
          <c:idx val="0"/>
          <c:order val="0"/>
          <c:marker>
            <c:symbol val="none"/>
          </c:marker>
          <c:xVal>
            <c:numRef>
              <c:f>'Loft Viewer'!$B$5:$N$5</c:f>
              <c:numCache>
                <c:formatCode>General</c:formatCode>
                <c:ptCount val="13"/>
                <c:pt idx="0">
                  <c:v>0.0</c:v>
                </c:pt>
                <c:pt idx="1">
                  <c:v>0.0809320702811932</c:v>
                </c:pt>
                <c:pt idx="2">
                  <c:v>0.161864140562386</c:v>
                </c:pt>
                <c:pt idx="3">
                  <c:v>0.24279621084358</c:v>
                </c:pt>
                <c:pt idx="4">
                  <c:v>0.323728281124773</c:v>
                </c:pt>
                <c:pt idx="5">
                  <c:v>0.404660351405966</c:v>
                </c:pt>
                <c:pt idx="6">
                  <c:v>0.485592421687159</c:v>
                </c:pt>
                <c:pt idx="7">
                  <c:v>0.566524491968353</c:v>
                </c:pt>
                <c:pt idx="8">
                  <c:v>0.647456562249546</c:v>
                </c:pt>
                <c:pt idx="9">
                  <c:v>0.728388632530739</c:v>
                </c:pt>
                <c:pt idx="10">
                  <c:v>0.809320702811932</c:v>
                </c:pt>
                <c:pt idx="11">
                  <c:v>0.890252773093125</c:v>
                </c:pt>
                <c:pt idx="12">
                  <c:v>0.971184843374319</c:v>
                </c:pt>
              </c:numCache>
            </c:numRef>
          </c:xVal>
          <c:yVal>
            <c:numRef>
              <c:f>'Loft Viewer'!$B$8:$N$8</c:f>
              <c:numCache>
                <c:formatCode>General</c:formatCode>
                <c:ptCount val="13"/>
                <c:pt idx="0">
                  <c:v>6.595322598527222</c:v>
                </c:pt>
                <c:pt idx="1">
                  <c:v>7.445424505453067</c:v>
                </c:pt>
                <c:pt idx="2">
                  <c:v>8.06453137651854</c:v>
                </c:pt>
                <c:pt idx="3">
                  <c:v>8.346821226038575</c:v>
                </c:pt>
                <c:pt idx="4">
                  <c:v>8.125158884817067</c:v>
                </c:pt>
                <c:pt idx="5">
                  <c:v>7.67847235072482</c:v>
                </c:pt>
                <c:pt idx="6">
                  <c:v>6.984161483026184</c:v>
                </c:pt>
                <c:pt idx="7">
                  <c:v>6.016015651754256</c:v>
                </c:pt>
                <c:pt idx="8">
                  <c:v>4.744078097777652</c:v>
                </c:pt>
                <c:pt idx="9">
                  <c:v>3.136477135303358</c:v>
                </c:pt>
                <c:pt idx="10">
                  <c:v>1.169219395487598</c:v>
                </c:pt>
                <c:pt idx="11">
                  <c:v>-1.127566616611027</c:v>
                </c:pt>
                <c:pt idx="12">
                  <c:v>-5.187702087142622</c:v>
                </c:pt>
              </c:numCache>
            </c:numRef>
          </c:yVal>
          <c:smooth val="1"/>
        </c:ser>
        <c:dLbls>
          <c:showLegendKey val="0"/>
          <c:showVal val="0"/>
          <c:showCatName val="0"/>
          <c:showSerName val="0"/>
          <c:showPercent val="0"/>
          <c:showBubbleSize val="0"/>
        </c:dLbls>
        <c:axId val="2110596360"/>
        <c:axId val="2110601880"/>
      </c:scatterChart>
      <c:valAx>
        <c:axId val="2110596360"/>
        <c:scaling>
          <c:orientation val="minMax"/>
        </c:scaling>
        <c:delete val="0"/>
        <c:axPos val="b"/>
        <c:majorGridlines/>
        <c:title>
          <c:tx>
            <c:rich>
              <a:bodyPr/>
              <a:lstStyle/>
              <a:p>
                <a:pPr>
                  <a:defRPr/>
                </a:pPr>
                <a:r>
                  <a:rPr lang="en-US"/>
                  <a:t>Span position [m]</a:t>
                </a:r>
              </a:p>
            </c:rich>
          </c:tx>
          <c:overlay val="0"/>
        </c:title>
        <c:numFmt formatCode="General" sourceLinked="1"/>
        <c:majorTickMark val="out"/>
        <c:minorTickMark val="none"/>
        <c:tickLblPos val="nextTo"/>
        <c:crossAx val="2110601880"/>
        <c:crosses val="autoZero"/>
        <c:crossBetween val="midCat"/>
      </c:valAx>
      <c:valAx>
        <c:axId val="2110601880"/>
        <c:scaling>
          <c:orientation val="minMax"/>
        </c:scaling>
        <c:delete val="0"/>
        <c:axPos val="l"/>
        <c:majorGridlines/>
        <c:title>
          <c:tx>
            <c:rich>
              <a:bodyPr rot="-5400000" vert="horz"/>
              <a:lstStyle/>
              <a:p>
                <a:pPr>
                  <a:defRPr/>
                </a:pPr>
                <a:r>
                  <a:rPr lang="en-US"/>
                  <a:t>Twist [deg]</a:t>
                </a:r>
              </a:p>
            </c:rich>
          </c:tx>
          <c:overlay val="0"/>
        </c:title>
        <c:numFmt formatCode="General" sourceLinked="1"/>
        <c:majorTickMark val="out"/>
        <c:minorTickMark val="none"/>
        <c:tickLblPos val="nextTo"/>
        <c:crossAx val="2110596360"/>
        <c:crosses val="autoZero"/>
        <c:crossBetween val="midCat"/>
      </c:valAx>
    </c:plotArea>
    <c:plotVisOnly val="1"/>
    <c:dispBlanksAs val="gap"/>
    <c:showDLblsOverMax val="0"/>
  </c:chart>
  <c:printSettings>
    <c:headerFooter/>
    <c:pageMargins b="0.750000000000005" l="0.700000000000001" r="0.700000000000001" t="0.75000000000000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Root!$N$2:$N$31</c:f>
              <c:numCache>
                <c:formatCode>General</c:formatCode>
                <c:ptCount val="30"/>
                <c:pt idx="0">
                  <c:v>788.2692596956688</c:v>
                </c:pt>
                <c:pt idx="1">
                  <c:v>750.3163836251236</c:v>
                </c:pt>
                <c:pt idx="2">
                  <c:v>684.3223073389728</c:v>
                </c:pt>
                <c:pt idx="3">
                  <c:v>618.4273152971752</c:v>
                </c:pt>
                <c:pt idx="4">
                  <c:v>552.7174841839884</c:v>
                </c:pt>
                <c:pt idx="5">
                  <c:v>487.3043966017428</c:v>
                </c:pt>
                <c:pt idx="6">
                  <c:v>422.0180615920586</c:v>
                </c:pt>
                <c:pt idx="7">
                  <c:v>356.7425369969028</c:v>
                </c:pt>
                <c:pt idx="8">
                  <c:v>291.024691046954</c:v>
                </c:pt>
                <c:pt idx="9">
                  <c:v>225.2370575957741</c:v>
                </c:pt>
                <c:pt idx="10">
                  <c:v>159.0958279293578</c:v>
                </c:pt>
                <c:pt idx="11">
                  <c:v>94.98004382712583</c:v>
                </c:pt>
                <c:pt idx="12">
                  <c:v>38.23110860523406</c:v>
                </c:pt>
                <c:pt idx="13">
                  <c:v>10.80595854390602</c:v>
                </c:pt>
                <c:pt idx="14">
                  <c:v>1.800842108691232</c:v>
                </c:pt>
                <c:pt idx="15">
                  <c:v>0.111959532754577</c:v>
                </c:pt>
                <c:pt idx="16">
                  <c:v>4.87023816412034</c:v>
                </c:pt>
                <c:pt idx="17">
                  <c:v>23.83719907404814</c:v>
                </c:pt>
                <c:pt idx="18">
                  <c:v>72.64557241293684</c:v>
                </c:pt>
                <c:pt idx="19">
                  <c:v>136.9699286609903</c:v>
                </c:pt>
                <c:pt idx="20">
                  <c:v>204.0160033744326</c:v>
                </c:pt>
                <c:pt idx="21">
                  <c:v>271.5590070313381</c:v>
                </c:pt>
                <c:pt idx="22">
                  <c:v>339.4024706649265</c:v>
                </c:pt>
                <c:pt idx="23">
                  <c:v>407.6797299782793</c:v>
                </c:pt>
                <c:pt idx="24">
                  <c:v>476.0766363169295</c:v>
                </c:pt>
                <c:pt idx="25">
                  <c:v>544.4861617067739</c:v>
                </c:pt>
                <c:pt idx="26">
                  <c:v>612.8664035681214</c:v>
                </c:pt>
                <c:pt idx="27">
                  <c:v>681.2916692949981</c:v>
                </c:pt>
                <c:pt idx="28">
                  <c:v>749.338644641801</c:v>
                </c:pt>
                <c:pt idx="29">
                  <c:v>788.2692596956688</c:v>
                </c:pt>
              </c:numCache>
            </c:numRef>
          </c:xVal>
          <c:yVal>
            <c:numRef>
              <c:f>Root!$O$2:$O$31</c:f>
              <c:numCache>
                <c:formatCode>General</c:formatCode>
                <c:ptCount val="30"/>
                <c:pt idx="0">
                  <c:v>-91.58770907121146</c:v>
                </c:pt>
                <c:pt idx="1">
                  <c:v>-82.77418310462264</c:v>
                </c:pt>
                <c:pt idx="2">
                  <c:v>-66.54943879893926</c:v>
                </c:pt>
                <c:pt idx="3">
                  <c:v>-48.90492418616107</c:v>
                </c:pt>
                <c:pt idx="4">
                  <c:v>-29.99539055547388</c:v>
                </c:pt>
                <c:pt idx="5">
                  <c:v>-9.75340850343444</c:v>
                </c:pt>
                <c:pt idx="6">
                  <c:v>10.61856616194804</c:v>
                </c:pt>
                <c:pt idx="7">
                  <c:v>28.64935404914031</c:v>
                </c:pt>
                <c:pt idx="8">
                  <c:v>43.31417533917335</c:v>
                </c:pt>
                <c:pt idx="9">
                  <c:v>52.43078838852612</c:v>
                </c:pt>
                <c:pt idx="10">
                  <c:v>55.82314315785096</c:v>
                </c:pt>
                <c:pt idx="11">
                  <c:v>49.86138853396202</c:v>
                </c:pt>
                <c:pt idx="12">
                  <c:v>34.24579258624934</c:v>
                </c:pt>
                <c:pt idx="13">
                  <c:v>17.17288797507168</c:v>
                </c:pt>
                <c:pt idx="14">
                  <c:v>6.641432636467666</c:v>
                </c:pt>
                <c:pt idx="15">
                  <c:v>-1.251337425273009</c:v>
                </c:pt>
                <c:pt idx="16">
                  <c:v>-10.87511451605092</c:v>
                </c:pt>
                <c:pt idx="17">
                  <c:v>-23.57506009861497</c:v>
                </c:pt>
                <c:pt idx="18">
                  <c:v>-42.40806095876925</c:v>
                </c:pt>
                <c:pt idx="19">
                  <c:v>-55.71266789215662</c:v>
                </c:pt>
                <c:pt idx="20">
                  <c:v>-65.20886570192571</c:v>
                </c:pt>
                <c:pt idx="21">
                  <c:v>-72.88127929108571</c:v>
                </c:pt>
                <c:pt idx="22">
                  <c:v>-78.77138114567052</c:v>
                </c:pt>
                <c:pt idx="23">
                  <c:v>-83.24848608996887</c:v>
                </c:pt>
                <c:pt idx="24">
                  <c:v>-86.61377058312817</c:v>
                </c:pt>
                <c:pt idx="25">
                  <c:v>-88.89498890490781</c:v>
                </c:pt>
                <c:pt idx="26">
                  <c:v>-90.45715219319834</c:v>
                </c:pt>
                <c:pt idx="27">
                  <c:v>-91.1400438444872</c:v>
                </c:pt>
                <c:pt idx="28">
                  <c:v>-91.36079685777962</c:v>
                </c:pt>
                <c:pt idx="29">
                  <c:v>-91.58770907121146</c:v>
                </c:pt>
              </c:numCache>
            </c:numRef>
          </c:yVal>
          <c:smooth val="1"/>
        </c:ser>
        <c:dLbls>
          <c:showLegendKey val="0"/>
          <c:showVal val="0"/>
          <c:showCatName val="0"/>
          <c:showSerName val="0"/>
          <c:showPercent val="0"/>
          <c:showBubbleSize val="0"/>
        </c:dLbls>
        <c:axId val="2110660392"/>
        <c:axId val="2110663416"/>
      </c:scatterChart>
      <c:valAx>
        <c:axId val="2110660392"/>
        <c:scaling>
          <c:orientation val="minMax"/>
        </c:scaling>
        <c:delete val="0"/>
        <c:axPos val="b"/>
        <c:numFmt formatCode="General" sourceLinked="1"/>
        <c:majorTickMark val="out"/>
        <c:minorTickMark val="none"/>
        <c:tickLblPos val="nextTo"/>
        <c:crossAx val="2110663416"/>
        <c:crosses val="autoZero"/>
        <c:crossBetween val="midCat"/>
      </c:valAx>
      <c:valAx>
        <c:axId val="2110663416"/>
        <c:scaling>
          <c:orientation val="minMax"/>
        </c:scaling>
        <c:delete val="0"/>
        <c:axPos val="l"/>
        <c:majorGridlines/>
        <c:numFmt formatCode="General" sourceLinked="1"/>
        <c:majorTickMark val="out"/>
        <c:minorTickMark val="none"/>
        <c:tickLblPos val="nextTo"/>
        <c:crossAx val="2110660392"/>
        <c:crosses val="autoZero"/>
        <c:crossBetween val="midCat"/>
      </c:valAx>
    </c:plotArea>
    <c:plotVisOnly val="1"/>
    <c:dispBlanksAs val="gap"/>
    <c:showDLblsOverMax val="0"/>
  </c:chart>
  <c:printSettings>
    <c:headerFooter/>
    <c:pageMargins b="0.750000000000006" l="0.700000000000001" r="0.700000000000001" t="0.750000000000006"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s>
</file>

<file path=xl/drawings/_rels/drawing10.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4" Type="http://schemas.openxmlformats.org/officeDocument/2006/relationships/chart" Target="../charts/chart5.xml"/><Relationship Id="rId1" Type="http://schemas.openxmlformats.org/officeDocument/2006/relationships/chart" Target="../charts/chart2.xml"/><Relationship Id="rId2"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 Id="rId2" Type="http://schemas.openxmlformats.org/officeDocument/2006/relationships/chart" Target="../charts/chart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oneCellAnchor>
    <xdr:from>
      <xdr:col>16</xdr:col>
      <xdr:colOff>107156</xdr:colOff>
      <xdr:row>0</xdr:row>
      <xdr:rowOff>15875</xdr:rowOff>
    </xdr:from>
    <xdr:ext cx="7705725" cy="1219565"/>
    <xdr:sp macro="" textlink="">
      <xdr:nvSpPr>
        <xdr:cNvPr id="2" name="TextBox 1"/>
        <xdr:cNvSpPr txBox="1"/>
      </xdr:nvSpPr>
      <xdr:spPr>
        <a:xfrm>
          <a:off x="9789038" y="15875"/>
          <a:ext cx="7705725" cy="1219565"/>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200" b="1">
              <a:solidFill>
                <a:srgbClr val="FF0000"/>
              </a:solidFill>
            </a:rPr>
            <a:t>DISCLAIMER:</a:t>
          </a:r>
          <a:r>
            <a:rPr lang="en-US" sz="1200" b="1" baseline="0">
              <a:solidFill>
                <a:srgbClr val="FF0000"/>
              </a:solidFill>
            </a:rPr>
            <a:t> </a:t>
          </a:r>
          <a:r>
            <a:rPr lang="en-US" sz="1200" baseline="0">
              <a:solidFill>
                <a:srgbClr val="FF0000"/>
              </a:solidFill>
            </a:rPr>
            <a:t>The purpose of this Excel file is ONLY designing RC models and not man carrying aircrafts. Designing real aircraft requires  more serious  approach, more detailed calculations and  many other things...  Author doesn't guarantee any accuracy of calculated values and is not responsible for any consequences which come from  using this Excel sheet.  You  are using all data and calculation presented here fully on your own responsibility!</a:t>
          </a:r>
        </a:p>
        <a:p>
          <a:r>
            <a:rPr lang="en-US" sz="1200" baseline="0">
              <a:solidFill>
                <a:srgbClr val="FF0000"/>
              </a:solidFill>
            </a:rPr>
            <a:t>This Excel file is free. You are allowed to use it  and share it.  But, you are not allowed to present it as your own work and place on your web page. If you want to share it use the link from NestOfDragons.net  site.</a:t>
          </a:r>
          <a:endParaRPr lang="en-US" sz="1200">
            <a:solidFill>
              <a:srgbClr val="FF0000"/>
            </a:solidFill>
          </a:endParaRPr>
        </a:p>
      </xdr:txBody>
    </xdr:sp>
    <xdr:clientData/>
  </xdr:oneCellAnchor>
  <xdr:oneCellAnchor>
    <xdr:from>
      <xdr:col>0</xdr:col>
      <xdr:colOff>85024</xdr:colOff>
      <xdr:row>24</xdr:row>
      <xdr:rowOff>69021</xdr:rowOff>
    </xdr:from>
    <xdr:ext cx="9613107" cy="2331279"/>
    <xdr:sp macro="" textlink="">
      <xdr:nvSpPr>
        <xdr:cNvPr id="3" name="TextBox 2"/>
        <xdr:cNvSpPr txBox="1"/>
      </xdr:nvSpPr>
      <xdr:spPr>
        <a:xfrm>
          <a:off x="85024" y="4641021"/>
          <a:ext cx="9613107" cy="233127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b="1"/>
            <a:t>SOME</a:t>
          </a:r>
          <a:r>
            <a:rPr lang="en-US" sz="1100" b="1" baseline="0"/>
            <a:t> GENERAL  GUIDELINES:</a:t>
          </a:r>
          <a:endParaRPr lang="en-US" sz="1100" b="1"/>
        </a:p>
        <a:p>
          <a:endParaRPr lang="en-US" sz="1100"/>
        </a:p>
        <a:p>
          <a:r>
            <a:rPr lang="en-US" sz="1100"/>
            <a:t>-Units used are m,</a:t>
          </a:r>
          <a:r>
            <a:rPr lang="en-US" sz="1100" baseline="0"/>
            <a:t> m^2, m/s, kg</a:t>
          </a:r>
          <a:r>
            <a:rPr lang="en-US" sz="1100"/>
            <a:t>, degrees...</a:t>
          </a:r>
        </a:p>
        <a:p>
          <a:r>
            <a:rPr lang="en-US" sz="1100"/>
            <a:t>-There are some background</a:t>
          </a:r>
          <a:r>
            <a:rPr lang="en-US" sz="1100" baseline="0"/>
            <a:t> </a:t>
          </a:r>
          <a:r>
            <a:rPr lang="en-US" sz="1100"/>
            <a:t>cells  behind graphs</a:t>
          </a:r>
          <a:r>
            <a:rPr lang="en-US" sz="1100" baseline="0"/>
            <a:t> which shouldn't be changed since then calculations won't work any more, just ignore them.</a:t>
          </a:r>
        </a:p>
        <a:p>
          <a:r>
            <a:rPr lang="en-US" sz="1100" baseline="0"/>
            <a:t>- Enter data ONLY in yellow cells. If you change any of the rest, calculations won't work any more.</a:t>
          </a:r>
        </a:p>
        <a:p>
          <a:r>
            <a:rPr lang="en-US" sz="1100" baseline="0"/>
            <a:t>- Some cells with more important results are colored green. </a:t>
          </a:r>
        </a:p>
        <a:p>
          <a:r>
            <a:rPr lang="en-US" sz="1100" baseline="0"/>
            <a:t>-It is advisable to keep the original copy of this file in case some calculation cells are changed by accident. </a:t>
          </a:r>
        </a:p>
        <a:p>
          <a:r>
            <a:rPr lang="en-US" sz="1100" baseline="0"/>
            <a:t>-There are comments in some cells, read them since they clarify things.</a:t>
          </a:r>
        </a:p>
        <a:p>
          <a:r>
            <a:rPr lang="en-US" sz="1100" baseline="0"/>
            <a:t>-In some cases common values are suggested. You can use those or change them if you know what you are doing.</a:t>
          </a:r>
        </a:p>
        <a:p>
          <a:r>
            <a:rPr lang="en-US" sz="1100" baseline="0"/>
            <a:t>-Graphs of geometry (wing planform, airfoils...) should be resized according to your monitor in a way that gives a proper relation between vertical and horizontal axis. Only that way you will see the true geometry, otherwise it will be "squished" either from top or sides. </a:t>
          </a:r>
        </a:p>
        <a:p>
          <a:endParaRPr lang="en-US" sz="1100" baseline="0"/>
        </a:p>
        <a:p>
          <a:endParaRPr lang="en-US" sz="1100" baseline="0"/>
        </a:p>
      </xdr:txBody>
    </xdr:sp>
    <xdr:clientData/>
  </xdr:oneCellAnchor>
  <xdr:oneCellAnchor>
    <xdr:from>
      <xdr:col>0</xdr:col>
      <xdr:colOff>85725</xdr:colOff>
      <xdr:row>70</xdr:row>
      <xdr:rowOff>27454</xdr:rowOff>
    </xdr:from>
    <xdr:ext cx="7105650" cy="953466"/>
    <xdr:sp macro="" textlink="">
      <xdr:nvSpPr>
        <xdr:cNvPr id="4" name="TextBox 3"/>
        <xdr:cNvSpPr txBox="1"/>
      </xdr:nvSpPr>
      <xdr:spPr>
        <a:xfrm>
          <a:off x="85725" y="13362454"/>
          <a:ext cx="7105650" cy="95346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a:t>If you have some </a:t>
          </a:r>
          <a:r>
            <a:rPr lang="en-US" sz="1100" baseline="0"/>
            <a:t> comments on the work presented here, you found bugs, or something is not clearly explained ,you</a:t>
          </a:r>
        </a:p>
        <a:p>
          <a:r>
            <a:rPr lang="en-US" sz="1100" baseline="0"/>
            <a:t>can contact me. I will try to address the issue as soon as I can.</a:t>
          </a:r>
        </a:p>
        <a:p>
          <a:endParaRPr lang="en-US" sz="1100" baseline="0"/>
        </a:p>
        <a:p>
          <a:r>
            <a:rPr lang="en-US" sz="1100" b="1" baseline="0"/>
            <a:t>Marko Stamenovic</a:t>
          </a:r>
        </a:p>
        <a:p>
          <a:r>
            <a:rPr lang="en-US" sz="1100" b="1" baseline="0"/>
            <a:t>e-mail: ftlltf@yahoo.com</a:t>
          </a:r>
        </a:p>
      </xdr:txBody>
    </xdr:sp>
    <xdr:clientData/>
  </xdr:oneCellAnchor>
  <xdr:oneCellAnchor>
    <xdr:from>
      <xdr:col>0</xdr:col>
      <xdr:colOff>85724</xdr:colOff>
      <xdr:row>0</xdr:row>
      <xdr:rowOff>19050</xdr:rowOff>
    </xdr:from>
    <xdr:ext cx="9607364" cy="1313436"/>
    <xdr:sp macro="" textlink="">
      <xdr:nvSpPr>
        <xdr:cNvPr id="5" name="TextBox 4"/>
        <xdr:cNvSpPr txBox="1"/>
      </xdr:nvSpPr>
      <xdr:spPr>
        <a:xfrm>
          <a:off x="85724" y="19050"/>
          <a:ext cx="9607364" cy="1313436"/>
        </a:xfrm>
        <a:prstGeom prst="rect">
          <a:avLst/>
        </a:prstGeom>
        <a:solidFill>
          <a:schemeClr val="accent3">
            <a:lumMod val="60000"/>
            <a:lumOff val="40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4200" b="1"/>
            <a:t>                  Flying Wing Designer </a:t>
          </a:r>
          <a:r>
            <a:rPr lang="en-US" sz="1200" b="1"/>
            <a:t>VERSION: V1.3 beta</a:t>
          </a:r>
        </a:p>
        <a:p>
          <a:r>
            <a:rPr lang="en-US" sz="1200" b="1" baseline="0"/>
            <a:t>                                                                by Marko Stamenovic</a:t>
          </a:r>
        </a:p>
        <a:p>
          <a:endParaRPr lang="en-US" sz="1200" b="1" baseline="0"/>
        </a:p>
        <a:p>
          <a:endParaRPr lang="en-US" sz="1200" b="1" baseline="0"/>
        </a:p>
      </xdr:txBody>
    </xdr:sp>
    <xdr:clientData/>
  </xdr:oneCellAnchor>
  <xdr:oneCellAnchor>
    <xdr:from>
      <xdr:col>0</xdr:col>
      <xdr:colOff>99310</xdr:colOff>
      <xdr:row>8</xdr:row>
      <xdr:rowOff>19469</xdr:rowOff>
    </xdr:from>
    <xdr:ext cx="9589295" cy="3020186"/>
    <xdr:sp macro="" textlink="">
      <xdr:nvSpPr>
        <xdr:cNvPr id="6" name="TextBox 5"/>
        <xdr:cNvSpPr txBox="1"/>
      </xdr:nvSpPr>
      <xdr:spPr>
        <a:xfrm>
          <a:off x="99310" y="1543469"/>
          <a:ext cx="9589295" cy="302018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b="1"/>
            <a:t>THE PURPOSE:</a:t>
          </a:r>
        </a:p>
        <a:p>
          <a:endParaRPr lang="en-US" sz="1100" b="1"/>
        </a:p>
        <a:p>
          <a:r>
            <a:rPr lang="en-US" sz="1100"/>
            <a:t>This</a:t>
          </a:r>
          <a:r>
            <a:rPr lang="en-US" sz="1100" baseline="0"/>
            <a:t> Excel file is an attempt of creating tool in order to help RC model builders who are designing flying wings similar to the ones designed by Horten brothers. It can be also used for other types of flying wings but it doesn't take into account any vertical surfaces.  Winglets would influence lift distribution so  nothing would be accurate. </a:t>
          </a:r>
          <a:r>
            <a:rPr lang="en-US" sz="1100" u="sng" baseline="0"/>
            <a:t>Also, due to simplifications it is not suitable for designing full scale, man carrying airplanes!</a:t>
          </a:r>
        </a:p>
        <a:p>
          <a:endParaRPr lang="en-US" sz="1100" baseline="0"/>
        </a:p>
        <a:p>
          <a:r>
            <a:rPr lang="en-US" sz="1100" baseline="0"/>
            <a:t>The main goal is to shorten time from choosing planform to having CAD model.  You can also use it to prepare airfoils for XFLR5.</a:t>
          </a:r>
        </a:p>
        <a:p>
          <a:endParaRPr lang="en-US" sz="1100" baseline="0"/>
        </a:p>
        <a:p>
          <a:r>
            <a:rPr lang="en-US" sz="1100" baseline="0"/>
            <a:t>Since this type of flying wings use complex, non-linear twist the idea was to calculate airfoil sections across the span so one can copy their coordinates into dat/txt files that can be opened directly from CAD software. That way you avoid designing airfoil sections with twist in CAD which can be time consuming. </a:t>
          </a:r>
        </a:p>
        <a:p>
          <a:endParaRPr lang="en-US" sz="1100" baseline="0"/>
        </a:p>
        <a:p>
          <a:r>
            <a:rPr lang="en-US" sz="1100" baseline="0"/>
            <a:t>First you choose planform, root and tip airfoils and then airfoil coordinates are modified to include: positioning of sections  along the span and  along the airflow axis, rotating for twist angle, increase of chord section to compensate for loss of length due to twist angle so Planform straight lines can be kept when viewed from top .</a:t>
          </a:r>
        </a:p>
        <a:p>
          <a:endParaRPr lang="en-US" sz="1100" baseline="0"/>
        </a:p>
        <a:p>
          <a:r>
            <a:rPr lang="en-US" sz="1100" baseline="0"/>
            <a:t>Neutral point and CG position for corresponding Stability Margin are also calculated using methods presented by Karl Nickel. This method gives good results when applied to the most of Horten's aircrafts. </a:t>
          </a:r>
        </a:p>
        <a:p>
          <a:endParaRPr lang="en-US" sz="1100" baseline="0"/>
        </a:p>
      </xdr:txBody>
    </xdr:sp>
    <xdr:clientData/>
  </xdr:oneCellAnchor>
  <xdr:oneCellAnchor>
    <xdr:from>
      <xdr:col>0</xdr:col>
      <xdr:colOff>98612</xdr:colOff>
      <xdr:row>37</xdr:row>
      <xdr:rowOff>20730</xdr:rowOff>
    </xdr:from>
    <xdr:ext cx="9610725" cy="3536866"/>
    <xdr:sp macro="" textlink="">
      <xdr:nvSpPr>
        <xdr:cNvPr id="7" name="TextBox 6"/>
        <xdr:cNvSpPr txBox="1"/>
      </xdr:nvSpPr>
      <xdr:spPr>
        <a:xfrm>
          <a:off x="98612" y="7069230"/>
          <a:ext cx="9610725" cy="353686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b="1"/>
            <a:t>HOW TO USE:</a:t>
          </a:r>
        </a:p>
        <a:p>
          <a:endParaRPr lang="en-US" sz="1100" b="1" baseline="0"/>
        </a:p>
        <a:p>
          <a:r>
            <a:rPr lang="en-US" sz="1100" baseline="0"/>
            <a:t>- </a:t>
          </a:r>
          <a:r>
            <a:rPr lang="en-US" sz="1100" b="1" baseline="0">
              <a:solidFill>
                <a:schemeClr val="tx1"/>
              </a:solidFill>
              <a:latin typeface="+mn-lt"/>
              <a:ea typeface="+mn-ea"/>
              <a:cs typeface="+mn-cs"/>
            </a:rPr>
            <a:t>Planform geometry , </a:t>
          </a:r>
          <a:r>
            <a:rPr lang="en-US" sz="1100" b="0" baseline="0">
              <a:solidFill>
                <a:schemeClr val="tx1"/>
              </a:solidFill>
              <a:latin typeface="+mn-lt"/>
              <a:ea typeface="+mn-ea"/>
              <a:cs typeface="+mn-cs"/>
            </a:rPr>
            <a:t>s</a:t>
          </a:r>
          <a:r>
            <a:rPr lang="en-US" sz="1100" baseline="0"/>
            <a:t>tart with designing on this page. Input basic planform parameters in yellow cells and  read comments.</a:t>
          </a:r>
        </a:p>
        <a:p>
          <a:endParaRPr lang="en-US" sz="1100" baseline="0"/>
        </a:p>
        <a:p>
          <a:r>
            <a:rPr lang="en-US" sz="1100" baseline="0"/>
            <a:t>- </a:t>
          </a:r>
          <a:r>
            <a:rPr lang="en-US" sz="1100" b="1" baseline="0"/>
            <a:t>Twist and Trim , </a:t>
          </a:r>
          <a:r>
            <a:rPr lang="en-US" sz="1100" b="0" baseline="0"/>
            <a:t>again enter data in yellow fields. Twist is calculated using LLT (only small sweep!) . Trim Cl is calculated using Panknin formula. Read the comments!</a:t>
          </a:r>
        </a:p>
        <a:p>
          <a:endParaRPr lang="en-US" sz="1100" b="0" baseline="0"/>
        </a:p>
        <a:p>
          <a:r>
            <a:rPr lang="en-US" sz="1100" b="0" baseline="0"/>
            <a:t>- </a:t>
          </a:r>
          <a:r>
            <a:rPr lang="en-US" sz="1100" b="1" baseline="0"/>
            <a:t>Airfoil interpolation, </a:t>
          </a:r>
          <a:r>
            <a:rPr lang="en-US" sz="1100" b="0" baseline="0"/>
            <a:t>here you need to enter coordinates of  Root and Tip airfoil. You can obtain these from some airfoil software like XFoil. There should be exactly 30 coordinate points.   Linearly interpolated airfoils will be calculated for all the stations between root and tip. </a:t>
          </a:r>
        </a:p>
        <a:p>
          <a:endParaRPr lang="en-US" sz="1100" b="0" baseline="0"/>
        </a:p>
        <a:p>
          <a:r>
            <a:rPr lang="en-US" sz="1100" b="0" baseline="0"/>
            <a:t>- </a:t>
          </a:r>
          <a:r>
            <a:rPr lang="en-US" sz="1100" b="1" baseline="0"/>
            <a:t>Loft viewer,  </a:t>
          </a:r>
          <a:r>
            <a:rPr lang="en-US" sz="1100" b="0" baseline="0"/>
            <a:t>this page will load data from previous pages. If you decide to go with twist from "Twist" page (LLT method) then you don't need to enter twist data here. If you decide to use twist from some other software you need to input twist values into yellow cells.  Keep in mind that links between cells will be lost.  Also,  you can choose chord position around which twist will be done. </a:t>
          </a:r>
        </a:p>
        <a:p>
          <a:r>
            <a:rPr lang="en-US" sz="1100" b="0" baseline="0"/>
            <a:t>Now you should be able to see all the airfoil sections scaled, positioned and rotated on the graph. </a:t>
          </a:r>
        </a:p>
        <a:p>
          <a:endParaRPr lang="en-US" sz="1100" b="0" baseline="0"/>
        </a:p>
        <a:p>
          <a:r>
            <a:rPr lang="en-US" sz="1100" b="0" baseline="0"/>
            <a:t>- </a:t>
          </a:r>
          <a:r>
            <a:rPr lang="en-US" sz="1100" b="1" baseline="0"/>
            <a:t>Root to Tip pages,  </a:t>
          </a:r>
          <a:r>
            <a:rPr lang="en-US" sz="1100" b="0" baseline="0"/>
            <a:t>on each page coordinates in green fields are calculated. These represent data that you should copy to data/txt files (for each airfoil section) . Depending on CAD software you are using you  should be able to open these coordinate files. When you  do that for all the airfoils you should have  all that you need to simply loft the sections into wing. Depending on CAD coordinate system  you might want to rotate wing so it is aligned with axis in a convenient way for you.  </a:t>
          </a:r>
        </a:p>
        <a:p>
          <a:endParaRPr lang="en-US" sz="1100" b="0" baseline="0"/>
        </a:p>
        <a:p>
          <a:r>
            <a:rPr lang="en-US" sz="1100" b="1" baseline="0"/>
            <a:t>Note:</a:t>
          </a:r>
          <a:r>
            <a:rPr lang="en-US" sz="1100" b="0" baseline="0"/>
            <a:t> Dihedral angle is not modeled. The reason for this is that it is easier to rotate the whole wing into CAD software once it has been made. Also, it is easier to check the geometry  viewed in graphs if dihedral is not included. </a:t>
          </a:r>
        </a:p>
      </xdr:txBody>
    </xdr:sp>
    <xdr:clientData/>
  </xdr:oneCellAnchor>
  <xdr:oneCellAnchor>
    <xdr:from>
      <xdr:col>0</xdr:col>
      <xdr:colOff>96932</xdr:colOff>
      <xdr:row>64</xdr:row>
      <xdr:rowOff>146237</xdr:rowOff>
    </xdr:from>
    <xdr:ext cx="9620250" cy="953466"/>
    <xdr:sp macro="" textlink="">
      <xdr:nvSpPr>
        <xdr:cNvPr id="8" name="TextBox 7"/>
        <xdr:cNvSpPr txBox="1"/>
      </xdr:nvSpPr>
      <xdr:spPr>
        <a:xfrm>
          <a:off x="96932" y="12338237"/>
          <a:ext cx="9620250" cy="95346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b="1" i="0" u="none" strike="noStrike">
              <a:solidFill>
                <a:schemeClr val="tx1"/>
              </a:solidFill>
              <a:latin typeface="+mn-lt"/>
              <a:ea typeface="+mn-ea"/>
              <a:cs typeface="+mn-cs"/>
            </a:rPr>
            <a:t>ACKNOWLEDGEMENTS</a:t>
          </a:r>
        </a:p>
        <a:p>
          <a:r>
            <a:rPr lang="en-US" sz="1100" b="0" i="0" u="none" strike="noStrike">
              <a:solidFill>
                <a:schemeClr val="tx1"/>
              </a:solidFill>
              <a:latin typeface="+mn-lt"/>
              <a:ea typeface="+mn-ea"/>
              <a:cs typeface="+mn-cs"/>
            </a:rPr>
            <a:t>It would be only fair to mention and thank a few people who indirectly contributed to this excel file:</a:t>
          </a:r>
        </a:p>
        <a:p>
          <a:pPr marL="0" marR="0" indent="0" defTabSz="91440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latin typeface="+mn-lt"/>
              <a:ea typeface="+mn-ea"/>
              <a:cs typeface="+mn-cs"/>
            </a:rPr>
            <a:t>- </a:t>
          </a:r>
          <a:r>
            <a:rPr lang="en-US" sz="1100" b="1" i="0" u="none" strike="noStrike">
              <a:solidFill>
                <a:schemeClr val="tx1"/>
              </a:solidFill>
              <a:latin typeface="+mn-lt"/>
              <a:ea typeface="+mn-ea"/>
              <a:cs typeface="+mn-cs"/>
            </a:rPr>
            <a:t>Koen</a:t>
          </a:r>
          <a:r>
            <a:rPr lang="en-US" sz="1100" b="1" i="0" u="none" strike="noStrike" baseline="0">
              <a:solidFill>
                <a:schemeClr val="tx1"/>
              </a:solidFill>
              <a:latin typeface="+mn-lt"/>
              <a:ea typeface="+mn-ea"/>
              <a:cs typeface="+mn-cs"/>
            </a:rPr>
            <a:t> Van de Kerckhove  </a:t>
          </a:r>
          <a:r>
            <a:rPr lang="en-US" sz="1100" b="0" i="0" u="none" strike="noStrike" baseline="0">
              <a:solidFill>
                <a:schemeClr val="tx1"/>
              </a:solidFill>
              <a:latin typeface="+mn-lt"/>
              <a:ea typeface="+mn-ea"/>
              <a:cs typeface="+mn-cs"/>
            </a:rPr>
            <a:t>from </a:t>
          </a:r>
          <a:r>
            <a:rPr lang="en-US" sz="1100" b="1" i="0" u="none" strike="noStrike" baseline="0">
              <a:solidFill>
                <a:schemeClr val="tx1"/>
              </a:solidFill>
              <a:latin typeface="+mn-lt"/>
              <a:ea typeface="+mn-ea"/>
              <a:cs typeface="+mn-cs"/>
            </a:rPr>
            <a:t>http://www.nestofdragons.net/ </a:t>
          </a:r>
          <a:r>
            <a:rPr lang="en-US" sz="1100" b="0" i="0" u="none" strike="noStrike" baseline="0">
              <a:solidFill>
                <a:schemeClr val="tx1"/>
              </a:solidFill>
              <a:latin typeface="+mn-lt"/>
              <a:ea typeface="+mn-ea"/>
              <a:cs typeface="+mn-cs"/>
            </a:rPr>
            <a:t>for gathering all of us,  Horten enthusiast on a "Horten Believers"  FB Group</a:t>
          </a:r>
        </a:p>
        <a:p>
          <a:pPr marL="0" marR="0" indent="0" defTabSz="914400" eaLnBrk="1" fontAlgn="auto" latinLnBrk="0" hangingPunct="1">
            <a:lnSpc>
              <a:spcPct val="100000"/>
            </a:lnSpc>
            <a:spcBef>
              <a:spcPts val="0"/>
            </a:spcBef>
            <a:spcAft>
              <a:spcPts val="0"/>
            </a:spcAft>
            <a:buClrTx/>
            <a:buSzTx/>
            <a:buFontTx/>
            <a:buNone/>
            <a:tabLst/>
            <a:defRPr/>
          </a:pPr>
          <a:r>
            <a:rPr lang="en-US" sz="1100" b="0" i="0" u="none" strike="noStrike" baseline="0">
              <a:solidFill>
                <a:schemeClr val="tx1"/>
              </a:solidFill>
              <a:latin typeface="+mn-lt"/>
              <a:ea typeface="+mn-ea"/>
              <a:cs typeface="+mn-cs"/>
            </a:rPr>
            <a:t>- </a:t>
          </a:r>
          <a:r>
            <a:rPr lang="en-US" sz="1100" b="1" i="0" u="none" strike="noStrike" baseline="0">
              <a:solidFill>
                <a:schemeClr val="tx1"/>
              </a:solidFill>
              <a:latin typeface="+mn-lt"/>
              <a:ea typeface="+mn-ea"/>
              <a:cs typeface="+mn-cs"/>
            </a:rPr>
            <a:t>Albion Bower </a:t>
          </a:r>
          <a:r>
            <a:rPr lang="en-US" sz="1100" b="0" i="0" u="none" strike="noStrike" baseline="0">
              <a:solidFill>
                <a:schemeClr val="tx1"/>
              </a:solidFill>
              <a:latin typeface="+mn-lt"/>
              <a:ea typeface="+mn-ea"/>
              <a:cs typeface="+mn-cs"/>
            </a:rPr>
            <a:t>who is his knowledge with all of us for  many years</a:t>
          </a:r>
        </a:p>
        <a:p>
          <a:pPr marL="0" marR="0" indent="0" defTabSz="914400" eaLnBrk="1" fontAlgn="auto" latinLnBrk="0" hangingPunct="1">
            <a:lnSpc>
              <a:spcPct val="100000"/>
            </a:lnSpc>
            <a:spcBef>
              <a:spcPts val="0"/>
            </a:spcBef>
            <a:spcAft>
              <a:spcPts val="0"/>
            </a:spcAft>
            <a:buClrTx/>
            <a:buSzTx/>
            <a:buFontTx/>
            <a:buNone/>
            <a:tabLst/>
            <a:defRPr/>
          </a:pPr>
          <a:r>
            <a:rPr lang="en-US" sz="1100" b="0" i="0" u="none" strike="noStrike" baseline="0">
              <a:solidFill>
                <a:schemeClr val="tx1"/>
              </a:solidFill>
              <a:latin typeface="+mn-lt"/>
              <a:ea typeface="+mn-ea"/>
              <a:cs typeface="+mn-cs"/>
            </a:rPr>
            <a:t>- </a:t>
          </a:r>
          <a:r>
            <a:rPr lang="en-US" sz="1100" b="1" i="0" u="none" strike="noStrike" baseline="0">
              <a:solidFill>
                <a:schemeClr val="tx1"/>
              </a:solidFill>
              <a:latin typeface="+mn-lt"/>
              <a:ea typeface="+mn-ea"/>
              <a:cs typeface="+mn-cs"/>
            </a:rPr>
            <a:t>John Newton  </a:t>
          </a:r>
          <a:r>
            <a:rPr lang="en-US" sz="1100" b="0" i="0" u="none" strike="noStrike" baseline="0">
              <a:solidFill>
                <a:schemeClr val="tx1"/>
              </a:solidFill>
              <a:latin typeface="+mn-lt"/>
              <a:ea typeface="+mn-ea"/>
              <a:cs typeface="+mn-cs"/>
            </a:rPr>
            <a:t>for writing a function which describes how NeutralPoint moves along MAC with the change of planform shape, that saved me some time.  </a:t>
          </a:r>
          <a:endParaRPr lang="en-US" sz="1100" b="0" i="0">
            <a:solidFill>
              <a:schemeClr val="tx1"/>
            </a:solidFill>
            <a:latin typeface="+mn-lt"/>
            <a:ea typeface="+mn-ea"/>
            <a:cs typeface="+mn-cs"/>
          </a:endParaRPr>
        </a:p>
      </xdr:txBody>
    </xdr:sp>
    <xdr:clientData/>
  </xdr:oneCellAnchor>
  <xdr:twoCellAnchor editAs="oneCell">
    <xdr:from>
      <xdr:col>0</xdr:col>
      <xdr:colOff>78441</xdr:colOff>
      <xdr:row>0</xdr:row>
      <xdr:rowOff>22411</xdr:rowOff>
    </xdr:from>
    <xdr:to>
      <xdr:col>3</xdr:col>
      <xdr:colOff>424278</xdr:colOff>
      <xdr:row>7</xdr:row>
      <xdr:rowOff>22412</xdr:rowOff>
    </xdr:to>
    <xdr:pic>
      <xdr:nvPicPr>
        <xdr:cNvPr id="9" name="Picture 8" descr="Logo FWD.jpg"/>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blip>
        <a:stretch>
          <a:fillRect/>
        </a:stretch>
      </xdr:blipFill>
      <xdr:spPr>
        <a:xfrm>
          <a:off x="78441" y="22411"/>
          <a:ext cx="2161190" cy="1333501"/>
        </a:xfrm>
        <a:prstGeom prst="rect">
          <a:avLst/>
        </a:prstGeom>
      </xdr:spPr>
    </xdr:pic>
    <xdr:clientData/>
  </xdr:twoCellAnchor>
  <xdr:oneCellAnchor>
    <xdr:from>
      <xdr:col>20</xdr:col>
      <xdr:colOff>593912</xdr:colOff>
      <xdr:row>37</xdr:row>
      <xdr:rowOff>112059</xdr:rowOff>
    </xdr:from>
    <xdr:ext cx="5703794" cy="264560"/>
    <xdr:sp macro="" textlink="">
      <xdr:nvSpPr>
        <xdr:cNvPr id="10" name="TextBox 9"/>
        <xdr:cNvSpPr txBox="1"/>
      </xdr:nvSpPr>
      <xdr:spPr>
        <a:xfrm>
          <a:off x="12696265" y="7160559"/>
          <a:ext cx="5703794"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US" sz="1100"/>
        </a:p>
      </xdr:txBody>
    </xdr:sp>
    <xdr:clientData/>
  </xdr:oneCellAnchor>
  <xdr:oneCellAnchor>
    <xdr:from>
      <xdr:col>0</xdr:col>
      <xdr:colOff>112059</xdr:colOff>
      <xdr:row>55</xdr:row>
      <xdr:rowOff>168088</xdr:rowOff>
    </xdr:from>
    <xdr:ext cx="9614647" cy="1642373"/>
    <xdr:sp macro="" textlink="">
      <xdr:nvSpPr>
        <xdr:cNvPr id="11" name="TextBox 10"/>
        <xdr:cNvSpPr txBox="1"/>
      </xdr:nvSpPr>
      <xdr:spPr>
        <a:xfrm>
          <a:off x="112059" y="10645588"/>
          <a:ext cx="9614647" cy="164237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b="1" i="0" u="none" strike="noStrike" baseline="0">
              <a:solidFill>
                <a:schemeClr val="tx1"/>
              </a:solidFill>
              <a:latin typeface="+mn-lt"/>
              <a:ea typeface="+mn-ea"/>
              <a:cs typeface="+mn-cs"/>
            </a:rPr>
            <a:t>LIMITATIONS:</a:t>
          </a:r>
        </a:p>
        <a:p>
          <a:endParaRPr lang="en-US" sz="1100" b="0" i="0" u="none" strike="noStrike" baseline="0">
            <a:solidFill>
              <a:schemeClr val="tx1"/>
            </a:solidFill>
            <a:latin typeface="+mn-lt"/>
            <a:ea typeface="+mn-ea"/>
            <a:cs typeface="+mn-cs"/>
          </a:endParaRPr>
        </a:p>
        <a:p>
          <a:r>
            <a:rPr lang="en-US" sz="1100" b="0" i="0" u="none" strike="noStrike" baseline="0">
              <a:solidFill>
                <a:schemeClr val="tx1"/>
              </a:solidFill>
              <a:latin typeface="+mn-lt"/>
              <a:ea typeface="+mn-ea"/>
              <a:cs typeface="+mn-cs"/>
            </a:rPr>
            <a:t>- Lifting Line theory was used to create twist for desired lift distribution. It is only accurate for small sweep angles.</a:t>
          </a:r>
        </a:p>
        <a:p>
          <a:r>
            <a:rPr lang="en-US" sz="1100" b="0" i="0" u="none" strike="noStrike" baseline="0">
              <a:solidFill>
                <a:schemeClr val="tx1"/>
              </a:solidFill>
              <a:latin typeface="+mn-lt"/>
              <a:ea typeface="+mn-ea"/>
              <a:cs typeface="+mn-cs"/>
            </a:rPr>
            <a:t>- "Tail" surface enters total wing area value but do not enter calculation of MAC, stability and trim. Consequences are that  model will be more stable and trimmed at </a:t>
          </a:r>
        </a:p>
        <a:p>
          <a:r>
            <a:rPr lang="en-US" sz="1100" b="0" i="0" u="none" strike="noStrike" baseline="0">
              <a:solidFill>
                <a:schemeClr val="tx1"/>
              </a:solidFill>
              <a:latin typeface="+mn-lt"/>
              <a:ea typeface="+mn-ea"/>
              <a:cs typeface="+mn-cs"/>
            </a:rPr>
            <a:t>   little smaller Cl. Keep tail small in order to avoid big errors.</a:t>
          </a:r>
        </a:p>
        <a:p>
          <a:r>
            <a:rPr lang="en-US" sz="1100" b="0" i="0" u="none" strike="noStrike" baseline="0">
              <a:solidFill>
                <a:schemeClr val="tx1"/>
              </a:solidFill>
              <a:latin typeface="+mn-lt"/>
              <a:ea typeface="+mn-ea"/>
              <a:cs typeface="+mn-cs"/>
            </a:rPr>
            <a:t>-Trim Cl is calculated using Panknin formula and represents approximation, don't hold on to these values.</a:t>
          </a:r>
        </a:p>
        <a:p>
          <a:endParaRPr lang="en-US" sz="1100" b="0" i="0" u="none" strike="noStrike" baseline="0">
            <a:solidFill>
              <a:schemeClr val="tx1"/>
            </a:solidFill>
            <a:latin typeface="+mn-lt"/>
            <a:ea typeface="+mn-ea"/>
            <a:cs typeface="+mn-cs"/>
          </a:endParaRPr>
        </a:p>
        <a:p>
          <a:r>
            <a:rPr lang="en-US" sz="1100" b="0" i="0" u="none" strike="noStrike" baseline="0">
              <a:solidFill>
                <a:schemeClr val="tx1"/>
              </a:solidFill>
              <a:latin typeface="+mn-lt"/>
              <a:ea typeface="+mn-ea"/>
              <a:cs typeface="+mn-cs"/>
            </a:rPr>
            <a:t>Maybe in the future there will be a new version with more accurate methods but for now this is it.  It is not  too important since the main idea of the software is to provide geometry for CAD and it can be used with some VLM software if one wish better results.</a:t>
          </a:r>
          <a:endParaRPr lang="en-US" sz="1100" b="0" i="0">
            <a:solidFill>
              <a:schemeClr val="tx1"/>
            </a:solidFill>
            <a:latin typeface="+mn-lt"/>
            <a:ea typeface="+mn-ea"/>
            <a:cs typeface="+mn-cs"/>
          </a:endParaRPr>
        </a:p>
      </xdr:txBody>
    </xdr:sp>
    <xdr:clientData/>
  </xdr:oneCellAnchor>
  <xdr:twoCellAnchor editAs="oneCell">
    <xdr:from>
      <xdr:col>17</xdr:col>
      <xdr:colOff>0</xdr:colOff>
      <xdr:row>10</xdr:row>
      <xdr:rowOff>0</xdr:rowOff>
    </xdr:from>
    <xdr:to>
      <xdr:col>21</xdr:col>
      <xdr:colOff>223859</xdr:colOff>
      <xdr:row>24</xdr:row>
      <xdr:rowOff>12192</xdr:rowOff>
    </xdr:to>
    <xdr:pic>
      <xdr:nvPicPr>
        <xdr:cNvPr id="12" name="Afbeelding 11" descr="Exclusive.jpg"/>
        <xdr:cNvPicPr>
          <a:picLocks noChangeAspect="1"/>
        </xdr:cNvPicPr>
      </xdr:nvPicPr>
      <xdr:blipFill>
        <a:blip xmlns:r="http://schemas.openxmlformats.org/officeDocument/2006/relationships" r:embed="rId2" cstate="print"/>
        <a:stretch>
          <a:fillRect/>
        </a:stretch>
      </xdr:blipFill>
      <xdr:spPr>
        <a:xfrm>
          <a:off x="10435167" y="1905000"/>
          <a:ext cx="2679192" cy="267919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114299</xdr:colOff>
      <xdr:row>32</xdr:row>
      <xdr:rowOff>0</xdr:rowOff>
    </xdr:from>
    <xdr:to>
      <xdr:col>16</xdr:col>
      <xdr:colOff>0</xdr:colOff>
      <xdr:row>41</xdr:row>
      <xdr:rowOff>85725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32</xdr:row>
      <xdr:rowOff>0</xdr:rowOff>
    </xdr:from>
    <xdr:to>
      <xdr:col>16</xdr:col>
      <xdr:colOff>1</xdr:colOff>
      <xdr:row>41</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85725</xdr:colOff>
      <xdr:row>32</xdr:row>
      <xdr:rowOff>0</xdr:rowOff>
    </xdr:from>
    <xdr:to>
      <xdr:col>16</xdr:col>
      <xdr:colOff>0</xdr:colOff>
      <xdr:row>42</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85724</xdr:colOff>
      <xdr:row>31</xdr:row>
      <xdr:rowOff>66675</xdr:rowOff>
    </xdr:from>
    <xdr:to>
      <xdr:col>16</xdr:col>
      <xdr:colOff>0</xdr:colOff>
      <xdr:row>41</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247650</xdr:colOff>
      <xdr:row>32</xdr:row>
      <xdr:rowOff>0</xdr:rowOff>
    </xdr:from>
    <xdr:to>
      <xdr:col>16</xdr:col>
      <xdr:colOff>0</xdr:colOff>
      <xdr:row>40</xdr:row>
      <xdr:rowOff>180975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114299</xdr:colOff>
      <xdr:row>32</xdr:row>
      <xdr:rowOff>0</xdr:rowOff>
    </xdr:from>
    <xdr:to>
      <xdr:col>16</xdr:col>
      <xdr:colOff>0</xdr:colOff>
      <xdr:row>41</xdr:row>
      <xdr:rowOff>76200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104775</xdr:colOff>
      <xdr:row>31</xdr:row>
      <xdr:rowOff>114300</xdr:rowOff>
    </xdr:from>
    <xdr:to>
      <xdr:col>16</xdr:col>
      <xdr:colOff>0</xdr:colOff>
      <xdr:row>40</xdr:row>
      <xdr:rowOff>66675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409575</xdr:colOff>
      <xdr:row>31</xdr:row>
      <xdr:rowOff>57150</xdr:rowOff>
    </xdr:from>
    <xdr:to>
      <xdr:col>16</xdr:col>
      <xdr:colOff>1</xdr:colOff>
      <xdr:row>40</xdr:row>
      <xdr:rowOff>171450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57149</xdr:colOff>
      <xdr:row>31</xdr:row>
      <xdr:rowOff>19049</xdr:rowOff>
    </xdr:from>
    <xdr:to>
      <xdr:col>16</xdr:col>
      <xdr:colOff>0</xdr:colOff>
      <xdr:row>39</xdr:row>
      <xdr:rowOff>66674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38100</xdr:colOff>
      <xdr:row>31</xdr:row>
      <xdr:rowOff>161925</xdr:rowOff>
    </xdr:from>
    <xdr:to>
      <xdr:col>16</xdr:col>
      <xdr:colOff>0</xdr:colOff>
      <xdr:row>40</xdr:row>
      <xdr:rowOff>152399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338531</xdr:colOff>
      <xdr:row>5</xdr:row>
      <xdr:rowOff>144560</xdr:rowOff>
    </xdr:from>
    <xdr:to>
      <xdr:col>33</xdr:col>
      <xdr:colOff>503464</xdr:colOff>
      <xdr:row>40</xdr:row>
      <xdr:rowOff>122465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6</xdr:col>
      <xdr:colOff>188</xdr:colOff>
      <xdr:row>42</xdr:row>
      <xdr:rowOff>140985</xdr:rowOff>
    </xdr:from>
    <xdr:ext cx="3731471" cy="264560"/>
    <xdr:sp macro="" textlink="">
      <xdr:nvSpPr>
        <xdr:cNvPr id="3" name="TextBox 2"/>
        <xdr:cNvSpPr txBox="1"/>
      </xdr:nvSpPr>
      <xdr:spPr>
        <a:xfrm>
          <a:off x="5647152" y="8223628"/>
          <a:ext cx="3731471" cy="264560"/>
        </a:xfrm>
        <a:prstGeom prst="rect">
          <a:avLst/>
        </a:prstGeom>
        <a:solidFill>
          <a:schemeClr val="accent3"/>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US" sz="1100" b="1"/>
            <a:t>In</a:t>
          </a:r>
          <a:r>
            <a:rPr lang="en-US" sz="1100" b="1" baseline="0"/>
            <a:t>  the table bellow you can find geometric data for the wing</a:t>
          </a:r>
          <a:endParaRPr lang="en-US" sz="1100" b="1"/>
        </a:p>
      </xdr:txBody>
    </xdr:sp>
    <xdr:clientData/>
  </xdr:oneCellAnchor>
  <xdr:oneCellAnchor>
    <xdr:from>
      <xdr:col>0</xdr:col>
      <xdr:colOff>0</xdr:colOff>
      <xdr:row>0</xdr:row>
      <xdr:rowOff>10584</xdr:rowOff>
    </xdr:from>
    <xdr:ext cx="5958416" cy="781240"/>
    <xdr:sp macro="" textlink="">
      <xdr:nvSpPr>
        <xdr:cNvPr id="4" name="TextBox 3"/>
        <xdr:cNvSpPr txBox="1"/>
      </xdr:nvSpPr>
      <xdr:spPr>
        <a:xfrm>
          <a:off x="0" y="10584"/>
          <a:ext cx="5958416" cy="781240"/>
        </a:xfrm>
        <a:prstGeom prst="rect">
          <a:avLst/>
        </a:prstGeom>
        <a:solidFill>
          <a:schemeClr val="bg1"/>
        </a:solidFill>
        <a:ln>
          <a:solidFill>
            <a:schemeClr val="accent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b="1"/>
            <a:t>On this page you should enter basic geometric</a:t>
          </a:r>
          <a:r>
            <a:rPr lang="en-US" sz="1100" b="1" baseline="0"/>
            <a:t> data of the wing. Be sure to read comments.</a:t>
          </a:r>
        </a:p>
        <a:p>
          <a:r>
            <a:rPr lang="en-US" sz="1100" b="1" baseline="0"/>
            <a:t>On the left side of the wing positions of calculated wing section are shown . On the right side you can see position of MAC and N-Point on the MAC. Notice that here N-point is not at 25% of MAC but further back for most swept planforms with high taper.</a:t>
          </a:r>
          <a:endParaRPr lang="en-US" sz="1100" b="1"/>
        </a:p>
      </xdr:txBody>
    </xdr:sp>
    <xdr:clientData/>
  </xdr:oneCellAnchor>
  <xdr:oneCellAnchor>
    <xdr:from>
      <xdr:col>8</xdr:col>
      <xdr:colOff>357188</xdr:colOff>
      <xdr:row>1</xdr:row>
      <xdr:rowOff>169310</xdr:rowOff>
    </xdr:from>
    <xdr:ext cx="9346405" cy="609013"/>
    <xdr:sp macro="" textlink="">
      <xdr:nvSpPr>
        <xdr:cNvPr id="6" name="TextBox 5"/>
        <xdr:cNvSpPr txBox="1"/>
      </xdr:nvSpPr>
      <xdr:spPr>
        <a:xfrm>
          <a:off x="7429501" y="359810"/>
          <a:ext cx="9346405" cy="609013"/>
        </a:xfrm>
        <a:prstGeom prst="rect">
          <a:avLst/>
        </a:prstGeom>
        <a:solidFill>
          <a:schemeClr val="bg1"/>
        </a:solidFill>
        <a:ln>
          <a:solidFill>
            <a:schemeClr val="accent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b="1">
              <a:solidFill>
                <a:srgbClr val="FF0000"/>
              </a:solidFill>
            </a:rPr>
            <a:t>NOTE</a:t>
          </a:r>
          <a:r>
            <a:rPr lang="en-US" sz="1100" b="1"/>
            <a:t>:</a:t>
          </a:r>
          <a:r>
            <a:rPr lang="en-US" sz="1100" b="1" baseline="0"/>
            <a:t> </a:t>
          </a:r>
          <a:r>
            <a:rPr lang="en-US" sz="1100" baseline="0"/>
            <a:t>Tail section area enters the total wing area value  (the value entered by user) but it DOESN'T enter into calculations of MAC and stability. </a:t>
          </a:r>
        </a:p>
        <a:p>
          <a:r>
            <a:rPr lang="en-US" sz="1100" baseline="0"/>
            <a:t>Consequence is that airplane will be a little bit more stable than calculated values show. Keep the tail area small so the error is not big. </a:t>
          </a:r>
        </a:p>
        <a:p>
          <a:r>
            <a:rPr lang="en-US" sz="1100" baseline="0"/>
            <a:t>Round wingtip sections are presented  just for the look ,they DON'T enter any calculations!</a:t>
          </a:r>
          <a:endParaRPr lang="en-US" sz="1100"/>
        </a:p>
      </xdr:txBody>
    </xdr:sp>
    <xdr:clientData/>
  </xdr:oneCellAnchor>
  <xdr:oneCellAnchor>
    <xdr:from>
      <xdr:col>8</xdr:col>
      <xdr:colOff>369764</xdr:colOff>
      <xdr:row>0</xdr:row>
      <xdr:rowOff>10584</xdr:rowOff>
    </xdr:from>
    <xdr:ext cx="9345735" cy="311496"/>
    <xdr:sp macro="" textlink="">
      <xdr:nvSpPr>
        <xdr:cNvPr id="7" name="TextBox 6"/>
        <xdr:cNvSpPr txBox="1"/>
      </xdr:nvSpPr>
      <xdr:spPr>
        <a:xfrm>
          <a:off x="7215858" y="10584"/>
          <a:ext cx="9345735" cy="311496"/>
        </a:xfrm>
        <a:prstGeom prst="rect">
          <a:avLst/>
        </a:prstGeom>
        <a:solidFill>
          <a:schemeClr val="bg1"/>
        </a:solidFill>
        <a:ln>
          <a:solidFill>
            <a:schemeClr val="accent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400" b="1">
              <a:solidFill>
                <a:srgbClr val="FF0000"/>
              </a:solidFill>
            </a:rPr>
            <a:t>IMPORTANT: </a:t>
          </a:r>
          <a:r>
            <a:rPr lang="en-US" sz="1400">
              <a:solidFill>
                <a:schemeClr val="tx1"/>
              </a:solidFill>
            </a:rPr>
            <a:t>You need to enable</a:t>
          </a:r>
          <a:r>
            <a:rPr lang="en-US" sz="1400" baseline="0">
              <a:solidFill>
                <a:schemeClr val="tx1"/>
              </a:solidFill>
            </a:rPr>
            <a:t> "Iterative Calculations" option in Excel Options/Formulas in order for this page to work!</a:t>
          </a:r>
          <a:endParaRPr lang="en-US" sz="1400"/>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0</xdr:col>
      <xdr:colOff>285748</xdr:colOff>
      <xdr:row>0</xdr:row>
      <xdr:rowOff>85725</xdr:rowOff>
    </xdr:from>
    <xdr:ext cx="8572502" cy="781240"/>
    <xdr:sp macro="" textlink="">
      <xdr:nvSpPr>
        <xdr:cNvPr id="2" name="TextBox 1"/>
        <xdr:cNvSpPr txBox="1"/>
      </xdr:nvSpPr>
      <xdr:spPr>
        <a:xfrm>
          <a:off x="285748" y="85725"/>
          <a:ext cx="8572502" cy="78124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a:t>Here you can find coordinates for some commonly used airfoils.</a:t>
          </a:r>
          <a:r>
            <a:rPr lang="en-US" sz="1100" baseline="0"/>
            <a:t>  There are a lot of other options out there so be sure to check what suits your design. Be free to explore airfoil choices outside this file. You can build your own database here for future use. </a:t>
          </a:r>
        </a:p>
        <a:p>
          <a:r>
            <a:rPr lang="en-US" sz="1100" baseline="0"/>
            <a:t>If you wish to use them just copy  data into appropriate position in yellow fields on "Airfoil Interpolation" page.</a:t>
          </a:r>
        </a:p>
        <a:p>
          <a:r>
            <a:rPr lang="en-US" sz="1100" baseline="0"/>
            <a:t>Remember to enter airfoil data on "Twist and Trim" page and keep in mind that these values might vary a little with the change of Re number.</a:t>
          </a:r>
          <a:endParaRPr lang="en-US" sz="1100"/>
        </a:p>
      </xdr:txBody>
    </xdr:sp>
    <xdr:clientData/>
  </xdr:oneCellAnchor>
</xdr:wsDr>
</file>

<file path=xl/drawings/drawing3.xml><?xml version="1.0" encoding="utf-8"?>
<c:userShapes xmlns:c="http://schemas.openxmlformats.org/drawingml/2006/chart">
  <cdr:relSizeAnchor xmlns:cdr="http://schemas.openxmlformats.org/drawingml/2006/chartDrawing">
    <cdr:from>
      <cdr:x>0.75471</cdr:x>
      <cdr:y>0.05609</cdr:y>
    </cdr:from>
    <cdr:to>
      <cdr:x>0.99677</cdr:x>
      <cdr:y>0.21551</cdr:y>
    </cdr:to>
    <cdr:sp macro="" textlink="">
      <cdr:nvSpPr>
        <cdr:cNvPr id="2" name="TextBox 6"/>
        <cdr:cNvSpPr txBox="1"/>
      </cdr:nvSpPr>
      <cdr:spPr>
        <a:xfrm xmlns:a="http://schemas.openxmlformats.org/drawingml/2006/main">
          <a:off x="15343842" y="384932"/>
          <a:ext cx="4921254" cy="1094119"/>
        </a:xfrm>
        <a:prstGeom xmlns:a="http://schemas.openxmlformats.org/drawingml/2006/main" prst="rect">
          <a:avLst/>
        </a:prstGeom>
        <a:solidFill xmlns:a="http://schemas.openxmlformats.org/drawingml/2006/main">
          <a:sysClr val="window" lastClr="FFFFFF"/>
        </a:solidFill>
        <a:ln xmlns:a="http://schemas.openxmlformats.org/drawingml/2006/main">
          <a:solidFill>
            <a:srgbClr val="4F81BD"/>
          </a:solid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1600" b="1">
              <a:solidFill>
                <a:srgbClr val="FF0000"/>
              </a:solidFill>
            </a:rPr>
            <a:t>____</a:t>
          </a:r>
          <a:r>
            <a:rPr lang="en-US" sz="1400"/>
            <a:t> Red</a:t>
          </a:r>
          <a:r>
            <a:rPr lang="en-US" sz="1400" baseline="0"/>
            <a:t> solid line represents position of CG</a:t>
          </a:r>
        </a:p>
        <a:p xmlns:a="http://schemas.openxmlformats.org/drawingml/2006/main">
          <a:r>
            <a:rPr lang="en-US" sz="1600" b="1">
              <a:solidFill>
                <a:srgbClr val="FF0000"/>
              </a:solidFill>
            </a:rPr>
            <a:t>_</a:t>
          </a:r>
          <a:r>
            <a:rPr lang="en-US" sz="1600" b="1" baseline="0">
              <a:solidFill>
                <a:srgbClr val="FF0000"/>
              </a:solidFill>
            </a:rPr>
            <a:t> _ _ </a:t>
          </a:r>
          <a:r>
            <a:rPr lang="en-US" sz="1400"/>
            <a:t>Red dashed line represents position of N-Point</a:t>
          </a:r>
        </a:p>
        <a:p xmlns:a="http://schemas.openxmlformats.org/drawingml/2006/main">
          <a:r>
            <a:rPr lang="en-US" sz="1600" b="1">
              <a:solidFill>
                <a:srgbClr val="92D050"/>
              </a:solidFill>
            </a:rPr>
            <a:t>____</a:t>
          </a:r>
          <a:r>
            <a:rPr lang="en-US" sz="1400"/>
            <a:t> Green line represents MAC</a:t>
          </a:r>
        </a:p>
        <a:p xmlns:a="http://schemas.openxmlformats.org/drawingml/2006/main">
          <a:r>
            <a:rPr lang="en-US" sz="1600" b="1">
              <a:solidFill>
                <a:schemeClr val="accent1"/>
              </a:solidFill>
            </a:rPr>
            <a:t>____ </a:t>
          </a:r>
          <a:r>
            <a:rPr lang="en-US" sz="1400" baseline="0"/>
            <a:t>Blue lines represent calculated airfoil sections positions</a:t>
          </a:r>
        </a:p>
      </cdr:txBody>
    </cdr:sp>
  </cdr:relSizeAnchor>
</c:userShapes>
</file>

<file path=xl/drawings/drawing4.xml><?xml version="1.0" encoding="utf-8"?>
<xdr:wsDr xmlns:xdr="http://schemas.openxmlformats.org/drawingml/2006/spreadsheetDrawing" xmlns:a="http://schemas.openxmlformats.org/drawingml/2006/main">
  <xdr:twoCellAnchor>
    <xdr:from>
      <xdr:col>3</xdr:col>
      <xdr:colOff>0</xdr:colOff>
      <xdr:row>0</xdr:row>
      <xdr:rowOff>0</xdr:rowOff>
    </xdr:from>
    <xdr:to>
      <xdr:col>16</xdr:col>
      <xdr:colOff>0</xdr:colOff>
      <xdr:row>19</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0</xdr:colOff>
      <xdr:row>19</xdr:row>
      <xdr:rowOff>0</xdr:rowOff>
    </xdr:from>
    <xdr:to>
      <xdr:col>31</xdr:col>
      <xdr:colOff>0</xdr:colOff>
      <xdr:row>38</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0</xdr:colOff>
      <xdr:row>19</xdr:row>
      <xdr:rowOff>0</xdr:rowOff>
    </xdr:from>
    <xdr:to>
      <xdr:col>16</xdr:col>
      <xdr:colOff>0</xdr:colOff>
      <xdr:row>38</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13607</xdr:colOff>
      <xdr:row>0</xdr:row>
      <xdr:rowOff>0</xdr:rowOff>
    </xdr:from>
    <xdr:to>
      <xdr:col>31</xdr:col>
      <xdr:colOff>13607</xdr:colOff>
      <xdr:row>18</xdr:row>
      <xdr:rowOff>200707</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0</xdr:colOff>
      <xdr:row>30</xdr:row>
      <xdr:rowOff>112723</xdr:rowOff>
    </xdr:from>
    <xdr:ext cx="3381375" cy="3881319"/>
    <xdr:sp macro="" textlink="">
      <xdr:nvSpPr>
        <xdr:cNvPr id="8" name="TextBox 7"/>
        <xdr:cNvSpPr txBox="1"/>
      </xdr:nvSpPr>
      <xdr:spPr>
        <a:xfrm>
          <a:off x="0" y="6072652"/>
          <a:ext cx="3381375" cy="388131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b="1"/>
            <a:t>A little explanation of methods used:</a:t>
          </a:r>
        </a:p>
        <a:p>
          <a:endParaRPr lang="en-US" sz="1100" b="1"/>
        </a:p>
        <a:p>
          <a:r>
            <a:rPr lang="en-US" sz="1100" b="0"/>
            <a:t>- Twist is calculated</a:t>
          </a:r>
          <a:r>
            <a:rPr lang="en-US" sz="1100" b="0" baseline="0"/>
            <a:t> using Prandtl's Lifting Line  </a:t>
          </a:r>
        </a:p>
        <a:p>
          <a:r>
            <a:rPr lang="en-US" sz="1100" b="0" baseline="0"/>
            <a:t>  Theory. Read top comments for more details </a:t>
          </a:r>
        </a:p>
        <a:p>
          <a:r>
            <a:rPr lang="en-US" sz="1100" b="0" baseline="0"/>
            <a:t>   about limitations.</a:t>
          </a:r>
        </a:p>
        <a:p>
          <a:endParaRPr lang="en-US" sz="1100" b="0" baseline="0"/>
        </a:p>
        <a:p>
          <a:r>
            <a:rPr lang="en-US" sz="1100"/>
            <a:t>-</a:t>
          </a:r>
          <a:r>
            <a:rPr lang="en-US" sz="1100" baseline="0"/>
            <a:t> </a:t>
          </a:r>
          <a:r>
            <a:rPr lang="en-US" sz="1100"/>
            <a:t>Panknin</a:t>
          </a:r>
          <a:r>
            <a:rPr lang="en-US" sz="1100" baseline="0"/>
            <a:t> formula was used to calculate trim Cl.</a:t>
          </a:r>
        </a:p>
        <a:p>
          <a:r>
            <a:rPr lang="en-US" sz="1100" baseline="0"/>
            <a:t>  It is  simple  approximation that has been  used </a:t>
          </a:r>
        </a:p>
        <a:p>
          <a:r>
            <a:rPr lang="en-US" sz="1100" baseline="0"/>
            <a:t>  in RC world for some time. Calculations are done for      basic trapezoidal planform.</a:t>
          </a:r>
        </a:p>
        <a:p>
          <a:endParaRPr lang="en-US" sz="1100" baseline="0"/>
        </a:p>
        <a:p>
          <a:r>
            <a:rPr lang="en-US" sz="1100" baseline="0"/>
            <a:t>- Usually, BSLD  is designed for trimmed Cl but since </a:t>
          </a:r>
        </a:p>
        <a:p>
          <a:r>
            <a:rPr lang="en-US" sz="1100" baseline="0"/>
            <a:t>  BSLD should be designed for Cl between 0.4 and 0.6      (in order to avoid tip stall first)  if you want trim Cl  (without elevon deflections) to  be lower than 0.4 then it becomes impractical to  use common approach. That is the reason why I choose to make calculations the way they are. </a:t>
          </a:r>
        </a:p>
        <a:p>
          <a:endParaRPr lang="en-US" sz="1100" baseline="0"/>
        </a:p>
        <a:p>
          <a:r>
            <a:rPr lang="en-US" sz="1100" baseline="0"/>
            <a:t>- If you want trim Cl to be in the range between 0.4</a:t>
          </a:r>
        </a:p>
        <a:p>
          <a:r>
            <a:rPr lang="en-US" sz="1100" baseline="0"/>
            <a:t>  and 0.6 you still can tweak SM  and Cm0 of airfoils so trimmed Cl is the same as Cl for BSLD. </a:t>
          </a:r>
          <a:endParaRPr lang="en-US" sz="1100"/>
        </a:p>
      </xdr:txBody>
    </xdr:sp>
    <xdr:clientData/>
  </xdr:oneCellAnchor>
  <xdr:oneCellAnchor>
    <xdr:from>
      <xdr:col>5</xdr:col>
      <xdr:colOff>0</xdr:colOff>
      <xdr:row>40</xdr:row>
      <xdr:rowOff>107157</xdr:rowOff>
    </xdr:from>
    <xdr:ext cx="4877297" cy="264560"/>
    <xdr:sp macro="" textlink="">
      <xdr:nvSpPr>
        <xdr:cNvPr id="9" name="TextBox 8"/>
        <xdr:cNvSpPr txBox="1"/>
      </xdr:nvSpPr>
      <xdr:spPr>
        <a:xfrm>
          <a:off x="6177643" y="7795193"/>
          <a:ext cx="4877297" cy="264560"/>
        </a:xfrm>
        <a:prstGeom prst="rect">
          <a:avLst/>
        </a:prstGeom>
        <a:solidFill>
          <a:schemeClr val="accent3"/>
        </a:solidFill>
        <a:ln>
          <a:solidFill>
            <a:schemeClr val="tx1"/>
          </a:solidFill>
        </a:ln>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US" sz="1100" b="1"/>
            <a:t>In</a:t>
          </a:r>
          <a:r>
            <a:rPr lang="en-US" sz="1100" b="1" baseline="0"/>
            <a:t>  the table bellow you can find geometrical data for the real wing including tail</a:t>
          </a:r>
          <a:endParaRPr lang="en-US" sz="1100" b="1"/>
        </a:p>
      </xdr:txBody>
    </xdr:sp>
    <xdr:clientData/>
  </xdr:oneCellAnchor>
  <xdr:oneCellAnchor>
    <xdr:from>
      <xdr:col>5</xdr:col>
      <xdr:colOff>0</xdr:colOff>
      <xdr:row>48</xdr:row>
      <xdr:rowOff>107156</xdr:rowOff>
    </xdr:from>
    <xdr:ext cx="4948662" cy="264560"/>
    <xdr:sp macro="" textlink="">
      <xdr:nvSpPr>
        <xdr:cNvPr id="10" name="TextBox 9"/>
        <xdr:cNvSpPr txBox="1"/>
      </xdr:nvSpPr>
      <xdr:spPr>
        <a:xfrm>
          <a:off x="6177643" y="9319192"/>
          <a:ext cx="4948662" cy="264560"/>
        </a:xfrm>
        <a:prstGeom prst="rect">
          <a:avLst/>
        </a:prstGeom>
        <a:solidFill>
          <a:schemeClr val="accent3"/>
        </a:solidFill>
        <a:ln>
          <a:solidFill>
            <a:schemeClr val="tx1"/>
          </a:solidFill>
        </a:ln>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US" sz="1100" b="1"/>
            <a:t>In</a:t>
          </a:r>
          <a:r>
            <a:rPr lang="en-US" sz="1100" b="1" baseline="0"/>
            <a:t>  the table bellow you can Reynolds number data for the real wing including tail</a:t>
          </a:r>
          <a:endParaRPr lang="en-US" sz="1100" b="1"/>
        </a:p>
      </xdr:txBody>
    </xdr:sp>
    <xdr:clientData/>
  </xdr:oneCellAnchor>
  <xdr:oneCellAnchor>
    <xdr:from>
      <xdr:col>5</xdr:col>
      <xdr:colOff>0</xdr:colOff>
      <xdr:row>100</xdr:row>
      <xdr:rowOff>107157</xdr:rowOff>
    </xdr:from>
    <xdr:ext cx="4022576" cy="264560"/>
    <xdr:sp macro="" textlink="">
      <xdr:nvSpPr>
        <xdr:cNvPr id="13" name="TextBox 12"/>
        <xdr:cNvSpPr txBox="1"/>
      </xdr:nvSpPr>
      <xdr:spPr>
        <a:xfrm>
          <a:off x="6177643" y="19225193"/>
          <a:ext cx="4022576" cy="264560"/>
        </a:xfrm>
        <a:prstGeom prst="rect">
          <a:avLst/>
        </a:prstGeom>
        <a:solidFill>
          <a:schemeClr val="accent3"/>
        </a:solidFill>
        <a:ln>
          <a:solidFill>
            <a:schemeClr val="tx1"/>
          </a:solidFill>
        </a:ln>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US" sz="1100" b="1"/>
            <a:t>In</a:t>
          </a:r>
          <a:r>
            <a:rPr lang="en-US" sz="1100" b="1" baseline="0"/>
            <a:t>  the table bellow you can find twist data for the trapezoid wing</a:t>
          </a:r>
          <a:endParaRPr lang="en-US" sz="1100" b="1"/>
        </a:p>
      </xdr:txBody>
    </xdr:sp>
    <xdr:clientData/>
  </xdr:oneCellAnchor>
  <xdr:oneCellAnchor>
    <xdr:from>
      <xdr:col>5</xdr:col>
      <xdr:colOff>0</xdr:colOff>
      <xdr:row>108</xdr:row>
      <xdr:rowOff>107156</xdr:rowOff>
    </xdr:from>
    <xdr:ext cx="4351128" cy="264560"/>
    <xdr:sp macro="" textlink="">
      <xdr:nvSpPr>
        <xdr:cNvPr id="14" name="TextBox 13"/>
        <xdr:cNvSpPr txBox="1"/>
      </xdr:nvSpPr>
      <xdr:spPr>
        <a:xfrm>
          <a:off x="6177643" y="20776406"/>
          <a:ext cx="4351128" cy="264560"/>
        </a:xfrm>
        <a:prstGeom prst="rect">
          <a:avLst/>
        </a:prstGeom>
        <a:solidFill>
          <a:schemeClr val="accent3"/>
        </a:solidFill>
        <a:ln>
          <a:solidFill>
            <a:schemeClr val="tx1"/>
          </a:solidFill>
        </a:ln>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US" sz="1100" b="1"/>
            <a:t>In</a:t>
          </a:r>
          <a:r>
            <a:rPr lang="en-US" sz="1100" b="1" baseline="0"/>
            <a:t>  the table bellow you can Reynolds number data for trapezoid wing</a:t>
          </a:r>
          <a:endParaRPr lang="en-US" sz="1100" b="1"/>
        </a:p>
      </xdr:txBody>
    </xdr:sp>
    <xdr:clientData/>
  </xdr:oneCellAnchor>
  <xdr:oneCellAnchor>
    <xdr:from>
      <xdr:col>4</xdr:col>
      <xdr:colOff>0</xdr:colOff>
      <xdr:row>66</xdr:row>
      <xdr:rowOff>0</xdr:rowOff>
    </xdr:from>
    <xdr:ext cx="10052047" cy="264560"/>
    <xdr:sp macro="" textlink="">
      <xdr:nvSpPr>
        <xdr:cNvPr id="15" name="TextBox 14"/>
        <xdr:cNvSpPr txBox="1"/>
      </xdr:nvSpPr>
      <xdr:spPr>
        <a:xfrm>
          <a:off x="4082143" y="12600214"/>
          <a:ext cx="10052047" cy="264560"/>
        </a:xfrm>
        <a:prstGeom prst="rect">
          <a:avLst/>
        </a:prstGeom>
        <a:solidFill>
          <a:schemeClr val="accent3"/>
        </a:solidFill>
        <a:ln>
          <a:solidFill>
            <a:schemeClr val="tx1"/>
          </a:solidFill>
        </a:ln>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US" sz="1100" b="1"/>
            <a:t>Data</a:t>
          </a:r>
          <a:r>
            <a:rPr lang="en-US" sz="1100" b="1" baseline="0"/>
            <a:t> bellow is used to calculate total twist for equivalent trapezoidal wing. It is needed since Panknin formula works only for trapezoidal wing - IGNORE the cells bellow. </a:t>
          </a:r>
          <a:endParaRPr lang="en-US" sz="1100" b="1"/>
        </a:p>
      </xdr:txBody>
    </xdr:sp>
    <xdr:clientData/>
  </xdr:oneCellAnchor>
  <xdr:oneCellAnchor>
    <xdr:from>
      <xdr:col>0</xdr:col>
      <xdr:colOff>13608</xdr:colOff>
      <xdr:row>52</xdr:row>
      <xdr:rowOff>25856</xdr:rowOff>
    </xdr:from>
    <xdr:ext cx="3360963" cy="436786"/>
    <xdr:sp macro="" textlink="">
      <xdr:nvSpPr>
        <xdr:cNvPr id="17" name="TextBox 16"/>
        <xdr:cNvSpPr txBox="1"/>
      </xdr:nvSpPr>
      <xdr:spPr>
        <a:xfrm>
          <a:off x="13608" y="10013499"/>
          <a:ext cx="3360963" cy="43678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b="1"/>
            <a:t>NOTE: Graphs show Twist, Cl and Gamma for Cl for which BSLD is designed.</a:t>
          </a:r>
          <a:endParaRPr lang="en-US"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6</xdr:col>
      <xdr:colOff>0</xdr:colOff>
      <xdr:row>35</xdr:row>
      <xdr:rowOff>0</xdr:rowOff>
    </xdr:from>
    <xdr:to>
      <xdr:col>41</xdr:col>
      <xdr:colOff>0</xdr:colOff>
      <xdr:row>62</xdr:row>
      <xdr:rowOff>-1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297656</xdr:colOff>
      <xdr:row>34</xdr:row>
      <xdr:rowOff>154782</xdr:rowOff>
    </xdr:from>
    <xdr:ext cx="3417092" cy="4742452"/>
    <xdr:sp macro="" textlink="">
      <xdr:nvSpPr>
        <xdr:cNvPr id="3" name="TextBox 2"/>
        <xdr:cNvSpPr txBox="1"/>
      </xdr:nvSpPr>
      <xdr:spPr>
        <a:xfrm>
          <a:off x="297656" y="6655595"/>
          <a:ext cx="3417092" cy="4742452"/>
        </a:xfrm>
        <a:prstGeom prst="rect">
          <a:avLst/>
        </a:prstGeom>
        <a:solidFill>
          <a:schemeClr val="bg1"/>
        </a:solidFill>
        <a:ln>
          <a:solidFill>
            <a:schemeClr val="accent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a:t>Insert Root and Tip airfoils coordinates into yellow fields. Number of points should</a:t>
          </a:r>
          <a:r>
            <a:rPr lang="en-US" sz="1100" baseline="0"/>
            <a:t> be exactly 30.  The rest of the fields represent  calculated linearly interpolated  airfoils between root and tip. </a:t>
          </a:r>
        </a:p>
        <a:p>
          <a:endParaRPr lang="en-US" sz="1100" baseline="0"/>
        </a:p>
        <a:p>
          <a:r>
            <a:rPr lang="en-US" sz="1100" baseline="0"/>
            <a:t>The graph on the right shows Root (</a:t>
          </a:r>
          <a:r>
            <a:rPr lang="en-US" sz="1100" b="1" baseline="0">
              <a:solidFill>
                <a:srgbClr val="0070C0"/>
              </a:solidFill>
            </a:rPr>
            <a:t>blue</a:t>
          </a:r>
          <a:r>
            <a:rPr lang="en-US" sz="1100" baseline="0">
              <a:solidFill>
                <a:sysClr val="windowText" lastClr="000000"/>
              </a:solidFill>
            </a:rPr>
            <a:t>) </a:t>
          </a:r>
          <a:r>
            <a:rPr lang="en-US" sz="1100" baseline="0"/>
            <a:t>and Tip (</a:t>
          </a:r>
          <a:r>
            <a:rPr lang="en-US" sz="1100" b="1" baseline="0">
              <a:solidFill>
                <a:srgbClr val="FF0000"/>
              </a:solidFill>
            </a:rPr>
            <a:t>red</a:t>
          </a:r>
          <a:r>
            <a:rPr lang="en-US" sz="1100" baseline="0">
              <a:solidFill>
                <a:sysClr val="windowText" lastClr="000000"/>
              </a:solidFill>
            </a:rPr>
            <a:t>) </a:t>
          </a:r>
          <a:r>
            <a:rPr lang="en-US" sz="1100" baseline="0"/>
            <a:t>airfoils. </a:t>
          </a:r>
          <a:r>
            <a:rPr lang="en-US" sz="1100" b="1" baseline="0">
              <a:solidFill>
                <a:srgbClr val="92D050"/>
              </a:solidFill>
            </a:rPr>
            <a:t>Green</a:t>
          </a:r>
          <a:r>
            <a:rPr lang="en-US" sz="1100" baseline="0"/>
            <a:t> airfoil is interpolated airfoil. By selecting data from above  columns you can choose which airfoil is show.  Airfoil number marked with number 6 is shown by default. To change it simply click on green airfoil on the graph and drag the data fields to columns of airfoil you wish to be shown. </a:t>
          </a:r>
        </a:p>
        <a:p>
          <a:endParaRPr lang="en-US" sz="1100" baseline="0"/>
        </a:p>
        <a:p>
          <a:r>
            <a:rPr lang="en-US" sz="1100" baseline="0">
              <a:solidFill>
                <a:srgbClr val="FF0000"/>
              </a:solidFill>
            </a:rPr>
            <a:t>NOTE: </a:t>
          </a:r>
          <a:r>
            <a:rPr lang="en-US" sz="1100" baseline="0"/>
            <a:t>When importing and exporting  airfoil coordinates care must be taken that comma s and  decimal points are used  appropriately. Depending on software you  use it might be needed that you change those before entering or  after exporting airfoil data. </a:t>
          </a:r>
        </a:p>
        <a:p>
          <a:endParaRPr lang="en-US" sz="1100" baseline="0"/>
        </a:p>
        <a:p>
          <a:r>
            <a:rPr lang="en-US" sz="1100" baseline="0"/>
            <a:t>If you are exporting airfoil from XFLR5, you will have to change dots into commas  in dat file before copying data here. After you paste data , click on paste option icon that apears at the bottom and  choose "Use tex t import wizard". Click  "Finish " and that is it. </a:t>
          </a:r>
        </a:p>
        <a:p>
          <a:endParaRPr lang="en-US" sz="1100" baseline="0"/>
        </a:p>
        <a:p>
          <a:r>
            <a:rPr lang="en-US" sz="1100" baseline="0"/>
            <a:t>If you want to use interpolated airfoils in XFLR5 or FLZ_Vortex copy airfoil coordinates from this page.</a:t>
          </a:r>
          <a:endParaRPr lang="en-US" sz="11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0</xdr:colOff>
      <xdr:row>11</xdr:row>
      <xdr:rowOff>-1</xdr:rowOff>
    </xdr:from>
    <xdr:to>
      <xdr:col>27</xdr:col>
      <xdr:colOff>0</xdr:colOff>
      <xdr:row>35</xdr:row>
      <xdr:rowOff>23812</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35</xdr:row>
      <xdr:rowOff>178593</xdr:rowOff>
    </xdr:from>
    <xdr:to>
      <xdr:col>27</xdr:col>
      <xdr:colOff>47626</xdr:colOff>
      <xdr:row>51</xdr:row>
      <xdr:rowOff>178593</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14</xdr:col>
      <xdr:colOff>255058</xdr:colOff>
      <xdr:row>0</xdr:row>
      <xdr:rowOff>49742</xdr:rowOff>
    </xdr:from>
    <xdr:ext cx="5523443" cy="1986826"/>
    <xdr:sp macro="" textlink="">
      <xdr:nvSpPr>
        <xdr:cNvPr id="4" name="TextBox 3"/>
        <xdr:cNvSpPr txBox="1"/>
      </xdr:nvSpPr>
      <xdr:spPr>
        <a:xfrm>
          <a:off x="10708746" y="49742"/>
          <a:ext cx="5523443" cy="198682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US" sz="1100"/>
            <a:t>On this page you have two options:</a:t>
          </a:r>
        </a:p>
        <a:p>
          <a:endParaRPr lang="en-US" sz="1100"/>
        </a:p>
        <a:p>
          <a:r>
            <a:rPr lang="en-US" sz="1100" b="1"/>
            <a:t>1</a:t>
          </a:r>
          <a:r>
            <a:rPr lang="en-US" sz="1100"/>
            <a:t> -</a:t>
          </a:r>
          <a:r>
            <a:rPr lang="en-US" sz="1100" baseline="0"/>
            <a:t> Take values from "Twist an Trim" page and LLT which disregards effects of sweep (requires no input)</a:t>
          </a:r>
        </a:p>
        <a:p>
          <a:r>
            <a:rPr lang="en-US" sz="1100" b="1" baseline="0"/>
            <a:t>2</a:t>
          </a:r>
          <a:r>
            <a:rPr lang="en-US" sz="1100" baseline="0"/>
            <a:t> - Input values for twist calculated using some other software (FLZ_Vortex, Nurflugel, XFLR5...)</a:t>
          </a:r>
        </a:p>
        <a:p>
          <a:endParaRPr lang="en-US" sz="1100" baseline="0"/>
        </a:p>
        <a:p>
          <a:r>
            <a:rPr lang="en-US" sz="1100" baseline="0"/>
            <a:t>You can choose point on chord around which twist rotation is done in upper left corner.</a:t>
          </a:r>
        </a:p>
        <a:p>
          <a:endParaRPr lang="en-US" sz="1100" baseline="0"/>
        </a:p>
        <a:p>
          <a:r>
            <a:rPr lang="en-US" sz="1100" b="1" baseline="0">
              <a:solidFill>
                <a:srgbClr val="FF0000"/>
              </a:solidFill>
            </a:rPr>
            <a:t>NOTE: </a:t>
          </a:r>
          <a:r>
            <a:rPr lang="en-US" sz="1100" baseline="0"/>
            <a:t>If you enter new values for twist, connection between twist cells and "Twist" page will be lost. Keep another copy of excel file or re-establish links between cells manually if needed.</a:t>
          </a:r>
        </a:p>
      </xdr:txBody>
    </xdr:sp>
    <xdr:clientData/>
  </xdr:oneCellAnchor>
  <xdr:oneCellAnchor>
    <xdr:from>
      <xdr:col>20</xdr:col>
      <xdr:colOff>547688</xdr:colOff>
      <xdr:row>36</xdr:row>
      <xdr:rowOff>142875</xdr:rowOff>
    </xdr:from>
    <xdr:ext cx="3406895" cy="609013"/>
    <xdr:sp macro="" textlink="">
      <xdr:nvSpPr>
        <xdr:cNvPr id="5" name="TextBox 4"/>
        <xdr:cNvSpPr txBox="1"/>
      </xdr:nvSpPr>
      <xdr:spPr>
        <a:xfrm>
          <a:off x="14644688" y="7036594"/>
          <a:ext cx="3406895" cy="609013"/>
        </a:xfrm>
        <a:prstGeom prst="rect">
          <a:avLst/>
        </a:prstGeom>
        <a:solidFill>
          <a:schemeClr val="bg2"/>
        </a:solidFill>
        <a:ln>
          <a:solidFill>
            <a:schemeClr val="accent1"/>
          </a:solidFill>
        </a:ln>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US" sz="1100" b="1"/>
            <a:t>NOTE:</a:t>
          </a:r>
          <a:r>
            <a:rPr lang="en-US" sz="1100"/>
            <a:t> Graph is here just for convinience so you can</a:t>
          </a:r>
          <a:r>
            <a:rPr lang="en-US" sz="1100" baseline="0"/>
            <a:t> see </a:t>
          </a:r>
        </a:p>
        <a:p>
          <a:r>
            <a:rPr lang="en-US" sz="1100" baseline="0"/>
            <a:t>twist in case you enter values manually from other </a:t>
          </a:r>
        </a:p>
        <a:p>
          <a:r>
            <a:rPr lang="en-US" sz="1100" baseline="0"/>
            <a:t>software.</a:t>
          </a:r>
          <a:endParaRPr lang="en-US" sz="1100"/>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346073</xdr:colOff>
      <xdr:row>32</xdr:row>
      <xdr:rowOff>32809</xdr:rowOff>
    </xdr:from>
    <xdr:to>
      <xdr:col>15</xdr:col>
      <xdr:colOff>488950</xdr:colOff>
      <xdr:row>42</xdr:row>
      <xdr:rowOff>128059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84666</xdr:colOff>
      <xdr:row>31</xdr:row>
      <xdr:rowOff>79375</xdr:rowOff>
    </xdr:from>
    <xdr:to>
      <xdr:col>18</xdr:col>
      <xdr:colOff>126999</xdr:colOff>
      <xdr:row>44</xdr:row>
      <xdr:rowOff>116416</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190501</xdr:colOff>
      <xdr:row>31</xdr:row>
      <xdr:rowOff>17992</xdr:rowOff>
    </xdr:from>
    <xdr:to>
      <xdr:col>19</xdr:col>
      <xdr:colOff>0</xdr:colOff>
      <xdr:row>45</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4:Q35"/>
  <sheetViews>
    <sheetView zoomScale="90" zoomScaleNormal="90" zoomScalePageLayoutView="90" workbookViewId="0">
      <selection activeCell="S65" sqref="S65"/>
    </sheetView>
  </sheetViews>
  <sheetFormatPr baseColWidth="10" defaultColWidth="8.83203125" defaultRowHeight="14" x14ac:dyDescent="0"/>
  <sheetData>
    <row r="14" spans="1:7">
      <c r="A14" s="35"/>
      <c r="B14" s="35"/>
      <c r="C14" s="35"/>
      <c r="D14" s="35"/>
      <c r="E14" s="35"/>
      <c r="F14" s="35"/>
      <c r="G14" s="35"/>
    </row>
    <row r="15" spans="1:7">
      <c r="A15" s="35"/>
      <c r="B15" s="35"/>
      <c r="C15" s="4"/>
      <c r="D15" s="4"/>
      <c r="E15" s="4"/>
      <c r="F15" s="4"/>
      <c r="G15" s="4"/>
    </row>
    <row r="16" spans="1:7">
      <c r="A16" s="19"/>
      <c r="B16" s="19"/>
      <c r="C16" s="19"/>
      <c r="D16" s="19"/>
      <c r="E16" s="4"/>
      <c r="F16" s="4"/>
      <c r="G16" s="4"/>
    </row>
    <row r="30" spans="17:17">
      <c r="Q30" s="36"/>
    </row>
    <row r="31" spans="17:17">
      <c r="Q31" s="36"/>
    </row>
    <row r="32" spans="17:17">
      <c r="Q32" s="36"/>
    </row>
    <row r="33" spans="17:17">
      <c r="Q33" s="36"/>
    </row>
    <row r="34" spans="17:17">
      <c r="Q34" s="36"/>
    </row>
    <row r="35" spans="17:17">
      <c r="Q35" s="36"/>
    </row>
  </sheetData>
  <pageMargins left="0.7" right="0.7" top="0.75" bottom="0.75" header="0.3" footer="0.3"/>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topLeftCell="A10" workbookViewId="0">
      <selection activeCell="V31" sqref="V31"/>
    </sheetView>
  </sheetViews>
  <sheetFormatPr baseColWidth="10" defaultColWidth="8.83203125" defaultRowHeight="14" x14ac:dyDescent="0"/>
  <sheetData>
    <row r="1" spans="1:21" ht="15" thickBot="1">
      <c r="A1">
        <v>5</v>
      </c>
      <c r="D1" t="s">
        <v>0</v>
      </c>
      <c r="E1" t="s">
        <v>1</v>
      </c>
      <c r="F1" t="s">
        <v>2</v>
      </c>
      <c r="G1" t="s">
        <v>5</v>
      </c>
      <c r="J1" t="s">
        <v>10</v>
      </c>
      <c r="K1" t="s">
        <v>9</v>
      </c>
      <c r="N1" s="6" t="s">
        <v>6</v>
      </c>
      <c r="O1" s="6" t="s">
        <v>7</v>
      </c>
      <c r="P1" s="6" t="s">
        <v>8</v>
      </c>
    </row>
    <row r="2" spans="1:21">
      <c r="A2">
        <f>'Airfoil Interpolation'!U4</f>
        <v>1</v>
      </c>
      <c r="B2">
        <f>'Airfoil Interpolation'!V4</f>
        <v>4.4333333333333334E-4</v>
      </c>
      <c r="D2" s="4">
        <f>'Loft Viewer'!F5</f>
        <v>0.32372828112477292</v>
      </c>
      <c r="E2" s="4">
        <f ca="1">'Loft Viewer'!F6</f>
        <v>0.4486998576808523</v>
      </c>
      <c r="F2" s="4">
        <f>'Loft Viewer'!F7</f>
        <v>0.20216045416402273</v>
      </c>
      <c r="G2" s="4">
        <f ca="1">-'Loft Viewer'!F8</f>
        <v>-8.1251588848170666</v>
      </c>
      <c r="J2">
        <f>'Loft Viewer'!B2</f>
        <v>0</v>
      </c>
      <c r="K2" s="1">
        <f ca="1">((A2)*COS(3.14*G2/180)-B2*SIN(3.14*G2/180))</f>
        <v>0.99003447753555762</v>
      </c>
      <c r="L2" s="1">
        <f ca="1">((A2)*SIN(3.14*G2/180)+B2*COS(3.14*G2/180))/COS(3.14*G2/180)</f>
        <v>-0.14225241333703292</v>
      </c>
      <c r="N2" s="27">
        <f ca="1">K2*E2*1000/COS(G2*3.14/180)+F2*1000</f>
        <v>669.35669546426061</v>
      </c>
      <c r="O2" s="28">
        <f ca="1">L2*E2*1000/COS(G2*3.14/180)-J2*E2*L2*1000/COS(3.14*G2/180)</f>
        <v>-64.475204632545712</v>
      </c>
      <c r="P2" s="29">
        <f>D2*1000</f>
        <v>323.72828112477293</v>
      </c>
    </row>
    <row r="3" spans="1:21">
      <c r="A3">
        <f>'Airfoil Interpolation'!U5</f>
        <v>0.95355666666666661</v>
      </c>
      <c r="B3">
        <f>'Airfoil Interpolation'!V5</f>
        <v>5.6766666666666667E-3</v>
      </c>
      <c r="D3">
        <f>D2</f>
        <v>0.32372828112477292</v>
      </c>
      <c r="E3">
        <f ca="1">E2</f>
        <v>0.4486998576808523</v>
      </c>
      <c r="F3">
        <f>F2</f>
        <v>0.20216045416402273</v>
      </c>
      <c r="G3">
        <f ca="1">G2</f>
        <v>-8.1251588848170666</v>
      </c>
      <c r="J3">
        <f>J2</f>
        <v>0</v>
      </c>
      <c r="K3" s="1">
        <f t="shared" ref="K3:K31" ca="1" si="0">((A3)*COS(3.14*G3/180)-B3*SIN(3.14*G3/180))</f>
        <v>0.94479617055019194</v>
      </c>
      <c r="L3" s="1">
        <f t="shared" ref="L3:L31" ca="1" si="1">((A3)*SIN(3.14*G3/180)+B3*COS(3.14*G3/180))/COS(3.14*G3/180)</f>
        <v>-0.1303918138758389</v>
      </c>
      <c r="N3" s="30">
        <f t="shared" ref="N3:N31" ca="1" si="2">K3*E3*1000/COS(G3*3.14/180)+F3*1000</f>
        <v>648.85265597776799</v>
      </c>
      <c r="O3" s="23">
        <f ca="1">L3*E3*1000/COS(G3*3.14/180)-J3*E3*L2*1000/COS(3.14*G2/180)</f>
        <v>-59.099446433538297</v>
      </c>
      <c r="P3" s="24">
        <f t="shared" ref="P3:P31" si="3">D3*1000</f>
        <v>323.72828112477293</v>
      </c>
    </row>
    <row r="4" spans="1:21">
      <c r="A4">
        <f>'Airfoil Interpolation'!U6</f>
        <v>0.86824000000000001</v>
      </c>
      <c r="B4">
        <f>'Airfoil Interpolation'!V6</f>
        <v>1.5793333333333333E-2</v>
      </c>
      <c r="D4">
        <f t="shared" ref="D4:G19" si="4">D3</f>
        <v>0.32372828112477292</v>
      </c>
      <c r="E4">
        <f t="shared" ca="1" si="4"/>
        <v>0.4486998576808523</v>
      </c>
      <c r="F4">
        <f t="shared" si="4"/>
        <v>0.20216045416402273</v>
      </c>
      <c r="G4">
        <f t="shared" ca="1" si="4"/>
        <v>-8.1251588848170666</v>
      </c>
      <c r="J4">
        <f t="shared" ref="J4:J31" si="5">J3</f>
        <v>0</v>
      </c>
      <c r="K4" s="1">
        <f t="shared" ca="1" si="0"/>
        <v>0.86176420081480098</v>
      </c>
      <c r="L4" s="1">
        <f t="shared" ca="1" si="1"/>
        <v>-0.10810082175574547</v>
      </c>
      <c r="N4" s="30">
        <f t="shared" ca="1" si="2"/>
        <v>611.21882528099923</v>
      </c>
      <c r="O4" s="23">
        <f ca="1">L4*E4*1000/COS(G4*3.14/180)-J4*E4*L2*1000/COS(3.14*G2/180)</f>
        <v>-48.996164213641265</v>
      </c>
      <c r="P4" s="24">
        <f t="shared" si="3"/>
        <v>323.72828112477293</v>
      </c>
    </row>
    <row r="5" spans="1:21">
      <c r="A5">
        <f>'Airfoil Interpolation'!U7</f>
        <v>0.78222666666666674</v>
      </c>
      <c r="B5">
        <f>'Airfoil Interpolation'!V7</f>
        <v>2.6866666666666664E-2</v>
      </c>
      <c r="D5">
        <f t="shared" si="4"/>
        <v>0.32372828112477292</v>
      </c>
      <c r="E5">
        <f t="shared" ca="1" si="4"/>
        <v>0.4486998576808523</v>
      </c>
      <c r="F5">
        <f t="shared" si="4"/>
        <v>0.20216045416402273</v>
      </c>
      <c r="G5">
        <f t="shared" ca="1" si="4"/>
        <v>-8.1251588848170666</v>
      </c>
      <c r="J5">
        <f t="shared" si="5"/>
        <v>0</v>
      </c>
      <c r="K5" s="1">
        <f t="shared" ca="1" si="0"/>
        <v>0.77817769398934211</v>
      </c>
      <c r="L5" s="1">
        <f t="shared" ca="1" si="1"/>
        <v>-8.4753751598805036E-2</v>
      </c>
      <c r="N5" s="30">
        <f t="shared" ca="1" si="2"/>
        <v>573.3336533836158</v>
      </c>
      <c r="O5" s="23">
        <f ca="1">L5*E5*1000/COS(G5*3.14/180)-J5*E5*L2*1000/COS(3.14*G2/180)</f>
        <v>-38.414219833037528</v>
      </c>
      <c r="P5" s="24">
        <f t="shared" si="3"/>
        <v>323.72828112477293</v>
      </c>
    </row>
    <row r="6" spans="1:21">
      <c r="A6">
        <f>'Airfoil Interpolation'!U8</f>
        <v>0.69621666666666671</v>
      </c>
      <c r="B6">
        <f>'Airfoil Interpolation'!V8</f>
        <v>3.8723333333333332E-2</v>
      </c>
      <c r="D6">
        <f t="shared" si="4"/>
        <v>0.32372828112477292</v>
      </c>
      <c r="E6">
        <f t="shared" ca="1" si="4"/>
        <v>0.4486998576808523</v>
      </c>
      <c r="F6">
        <f t="shared" si="4"/>
        <v>0.20216045416402273</v>
      </c>
      <c r="G6">
        <f t="shared" ca="1" si="4"/>
        <v>-8.1251588848170666</v>
      </c>
      <c r="J6">
        <f t="shared" si="5"/>
        <v>0</v>
      </c>
      <c r="K6" s="1">
        <f t="shared" ca="1" si="0"/>
        <v>0.69470514447505027</v>
      </c>
      <c r="L6" s="1">
        <f t="shared" ca="1" si="1"/>
        <v>-6.0623823761020171E-2</v>
      </c>
      <c r="N6" s="30">
        <f t="shared" ca="1" si="2"/>
        <v>535.50013207538223</v>
      </c>
      <c r="O6" s="23">
        <f ca="1">L6*E6*1000/COS(G6*3.14/180)-J6*E6*L2*1000/COS(3.14*G2/180)</f>
        <v>-27.47744907032514</v>
      </c>
      <c r="P6" s="24">
        <f t="shared" si="3"/>
        <v>323.72828112477293</v>
      </c>
    </row>
    <row r="7" spans="1:21">
      <c r="A7">
        <f>'Airfoil Interpolation'!U9</f>
        <v>0.61033666666666664</v>
      </c>
      <c r="B7">
        <f>'Airfoil Interpolation'!V9</f>
        <v>5.1403333333333329E-2</v>
      </c>
      <c r="D7">
        <f t="shared" si="4"/>
        <v>0.32372828112477292</v>
      </c>
      <c r="E7">
        <f t="shared" ca="1" si="4"/>
        <v>0.4486998576808523</v>
      </c>
      <c r="F7">
        <f t="shared" si="4"/>
        <v>0.20216045416402273</v>
      </c>
      <c r="G7">
        <f t="shared" ca="1" si="4"/>
        <v>-8.1251588848170666</v>
      </c>
      <c r="J7">
        <f t="shared" si="5"/>
        <v>0</v>
      </c>
      <c r="K7" s="1">
        <f t="shared" ca="1" si="0"/>
        <v>0.61147759929717171</v>
      </c>
      <c r="L7" s="1">
        <f t="shared" ca="1" si="1"/>
        <v>-3.568911303696911E-2</v>
      </c>
      <c r="N7" s="30">
        <f t="shared" ca="1" si="2"/>
        <v>497.77765777405392</v>
      </c>
      <c r="O7" s="23">
        <f ca="1">L7*E7*1000/COS(G7*3.14/180)-J7*E7*L2*1000/COS(3.14*G2/180)</f>
        <v>-16.175914434300825</v>
      </c>
      <c r="P7" s="24">
        <f t="shared" si="3"/>
        <v>323.72828112477293</v>
      </c>
    </row>
    <row r="8" spans="1:21">
      <c r="A8">
        <f>'Airfoil Interpolation'!U10</f>
        <v>0.52459666666666671</v>
      </c>
      <c r="B8">
        <f>'Airfoil Interpolation'!V10</f>
        <v>6.3846666666666663E-2</v>
      </c>
      <c r="D8">
        <f t="shared" si="4"/>
        <v>0.32372828112477292</v>
      </c>
      <c r="E8">
        <f t="shared" ca="1" si="4"/>
        <v>0.4486998576808523</v>
      </c>
      <c r="F8">
        <f t="shared" si="4"/>
        <v>0.20216045416402273</v>
      </c>
      <c r="G8">
        <f t="shared" ca="1" si="4"/>
        <v>-8.1251588848170666</v>
      </c>
      <c r="J8">
        <f t="shared" si="5"/>
        <v>0</v>
      </c>
      <c r="K8" s="1">
        <f t="shared" ca="1" si="0"/>
        <v>0.52835521751552761</v>
      </c>
      <c r="L8" s="1">
        <f t="shared" ca="1" si="1"/>
        <v>-1.1011046384118581E-2</v>
      </c>
      <c r="N8" s="30">
        <f t="shared" ca="1" si="2"/>
        <v>460.10284826331156</v>
      </c>
      <c r="O8" s="23">
        <f ca="1">L8*E8*1000/COS(G8*3.14/180)-J8*E8*L2*1000/COS(3.14*G2/180)</f>
        <v>-4.9907024575566741</v>
      </c>
      <c r="P8" s="24">
        <f t="shared" si="3"/>
        <v>323.72828112477293</v>
      </c>
    </row>
    <row r="9" spans="1:21">
      <c r="A9">
        <f>'Airfoil Interpolation'!U11</f>
        <v>0.43918000000000001</v>
      </c>
      <c r="B9">
        <f>'Airfoil Interpolation'!V11</f>
        <v>7.3899999999999993E-2</v>
      </c>
      <c r="D9">
        <f t="shared" si="4"/>
        <v>0.32372828112477292</v>
      </c>
      <c r="E9">
        <f t="shared" ca="1" si="4"/>
        <v>0.4486998576808523</v>
      </c>
      <c r="F9">
        <f t="shared" si="4"/>
        <v>0.20216045416402273</v>
      </c>
      <c r="G9">
        <f t="shared" ca="1" si="4"/>
        <v>-8.1251588848170666</v>
      </c>
      <c r="J9">
        <f t="shared" si="5"/>
        <v>0</v>
      </c>
      <c r="K9" s="1">
        <f t="shared" ca="1" si="0"/>
        <v>0.44521530382620633</v>
      </c>
      <c r="L9" s="1">
        <f t="shared" ca="1" si="1"/>
        <v>1.1230881977308541E-2</v>
      </c>
      <c r="N9" s="30">
        <f t="shared" ca="1" si="2"/>
        <v>422.42009250189722</v>
      </c>
      <c r="O9" s="23">
        <f ca="1">L9*E9*1000/COS(G9*3.14/180)-J9*E9*L2*1000/COS(3.14*G2/180)</f>
        <v>5.0903418557499265</v>
      </c>
      <c r="P9" s="24">
        <f t="shared" si="3"/>
        <v>323.72828112477293</v>
      </c>
    </row>
    <row r="10" spans="1:21">
      <c r="A10">
        <f>'Airfoil Interpolation'!U12</f>
        <v>0.35387333333333332</v>
      </c>
      <c r="B10">
        <f>'Airfoil Interpolation'!V12</f>
        <v>8.052999999999999E-2</v>
      </c>
      <c r="D10">
        <f t="shared" si="4"/>
        <v>0.32372828112477292</v>
      </c>
      <c r="E10">
        <f t="shared" ca="1" si="4"/>
        <v>0.4486998576808523</v>
      </c>
      <c r="F10">
        <f t="shared" si="4"/>
        <v>0.20216045416402273</v>
      </c>
      <c r="G10">
        <f t="shared" ca="1" si="4"/>
        <v>-8.1251588848170666</v>
      </c>
      <c r="J10">
        <f t="shared" si="5"/>
        <v>0</v>
      </c>
      <c r="K10" s="1">
        <f t="shared" ca="1" si="0"/>
        <v>0.36170069063642374</v>
      </c>
      <c r="L10" s="1">
        <f t="shared" ca="1" si="1"/>
        <v>3.0033780473268587E-2</v>
      </c>
      <c r="N10" s="30">
        <f t="shared" ca="1" si="2"/>
        <v>384.56750604024216</v>
      </c>
      <c r="O10" s="23">
        <f ca="1">L10*E10*1000/COS(G10*3.14/180)-J10*E10*L2*1000/COS(3.14*G2/180)</f>
        <v>13.612662846816047</v>
      </c>
      <c r="P10" s="24">
        <f t="shared" si="3"/>
        <v>323.72828112477293</v>
      </c>
    </row>
    <row r="11" spans="1:21">
      <c r="A11">
        <f>'Airfoil Interpolation'!U13</f>
        <v>0.26930666666666669</v>
      </c>
      <c r="B11">
        <f>'Airfoil Interpolation'!V13</f>
        <v>8.1753333333333331E-2</v>
      </c>
      <c r="D11">
        <f t="shared" si="4"/>
        <v>0.32372828112477292</v>
      </c>
      <c r="E11">
        <f t="shared" ca="1" si="4"/>
        <v>0.4486998576808523</v>
      </c>
      <c r="F11">
        <f t="shared" si="4"/>
        <v>0.20216045416402273</v>
      </c>
      <c r="G11">
        <f t="shared" ca="1" si="4"/>
        <v>-8.1251588848170666</v>
      </c>
      <c r="J11">
        <f t="shared" si="5"/>
        <v>0</v>
      </c>
      <c r="K11" s="1">
        <f t="shared" ca="1" si="0"/>
        <v>0.27815488507996838</v>
      </c>
      <c r="L11" s="1">
        <f t="shared" ca="1" si="1"/>
        <v>4.3324417450025889E-2</v>
      </c>
      <c r="N11" s="30">
        <f t="shared" ca="1" si="2"/>
        <v>346.7007817922605</v>
      </c>
      <c r="O11" s="23">
        <f ca="1">L11*E11*1000/COS(G11*3.14/180)-J11*E11*L2*1000/COS(3.14*G2/180)</f>
        <v>19.636578495565345</v>
      </c>
      <c r="P11" s="24">
        <f t="shared" si="3"/>
        <v>323.72828112477293</v>
      </c>
    </row>
    <row r="12" spans="1:21">
      <c r="A12">
        <f>'Airfoil Interpolation'!U14</f>
        <v>0.18551666666666666</v>
      </c>
      <c r="B12">
        <f>'Airfoil Interpolation'!V14</f>
        <v>7.7079999999999982E-2</v>
      </c>
      <c r="D12">
        <f t="shared" si="4"/>
        <v>0.32372828112477292</v>
      </c>
      <c r="E12">
        <f t="shared" ca="1" si="4"/>
        <v>0.4486998576808523</v>
      </c>
      <c r="F12">
        <f t="shared" si="4"/>
        <v>0.20216045416402273</v>
      </c>
      <c r="G12">
        <f t="shared" ca="1" si="4"/>
        <v>-8.1251588848170666</v>
      </c>
      <c r="J12">
        <f t="shared" si="5"/>
        <v>0</v>
      </c>
      <c r="K12" s="1">
        <f t="shared" ca="1" si="0"/>
        <v>0.1945449663862322</v>
      </c>
      <c r="L12" s="1">
        <f t="shared" ca="1" si="1"/>
        <v>5.0607560730202533E-2</v>
      </c>
      <c r="N12" s="30">
        <f t="shared" ca="1" si="2"/>
        <v>308.80499858106799</v>
      </c>
      <c r="O12" s="23">
        <f ca="1">L12*E12*1000/COS(G12*3.14/180)-J12*E12*L2*1000/COS(3.14*G2/180)</f>
        <v>22.937627260516535</v>
      </c>
      <c r="P12" s="24">
        <f t="shared" si="3"/>
        <v>323.72828112477293</v>
      </c>
    </row>
    <row r="13" spans="1:21">
      <c r="A13">
        <f>'Airfoil Interpolation'!U15</f>
        <v>0.10579333333333334</v>
      </c>
      <c r="B13">
        <f>'Airfoil Interpolation'!V15</f>
        <v>6.321333333333333E-2</v>
      </c>
      <c r="D13">
        <f t="shared" si="4"/>
        <v>0.32372828112477292</v>
      </c>
      <c r="E13">
        <f t="shared" ca="1" si="4"/>
        <v>0.4486998576808523</v>
      </c>
      <c r="F13">
        <f t="shared" si="4"/>
        <v>0.20216045416402273</v>
      </c>
      <c r="G13">
        <f t="shared" ca="1" si="4"/>
        <v>-8.1251588848170666</v>
      </c>
      <c r="J13">
        <f t="shared" si="5"/>
        <v>0</v>
      </c>
      <c r="K13" s="1">
        <f t="shared" ca="1" si="0"/>
        <v>0.11366223907607083</v>
      </c>
      <c r="L13" s="1">
        <f t="shared" ca="1" si="1"/>
        <v>4.8117074640586385E-2</v>
      </c>
      <c r="N13" s="30">
        <f t="shared" ca="1" si="2"/>
        <v>272.14530141160401</v>
      </c>
      <c r="O13" s="23">
        <f ca="1">L13*E13*1000/COS(G13*3.14/180)-J13*E13*L2*1000/COS(3.14*G2/180)</f>
        <v>21.808826725638674</v>
      </c>
      <c r="P13" s="24">
        <f t="shared" si="3"/>
        <v>323.72828112477293</v>
      </c>
    </row>
    <row r="14" spans="1:21">
      <c r="A14">
        <f>'Airfoil Interpolation'!U16</f>
        <v>4.0489999999999998E-2</v>
      </c>
      <c r="B14">
        <f>'Airfoil Interpolation'!V16</f>
        <v>4.059666666666667E-2</v>
      </c>
      <c r="D14">
        <f t="shared" si="4"/>
        <v>0.32372828112477292</v>
      </c>
      <c r="E14">
        <f t="shared" ca="1" si="4"/>
        <v>0.4486998576808523</v>
      </c>
      <c r="F14">
        <f t="shared" si="4"/>
        <v>0.20216045416402273</v>
      </c>
      <c r="G14">
        <f t="shared" ca="1" si="4"/>
        <v>-8.1251588848170666</v>
      </c>
      <c r="J14">
        <f t="shared" si="5"/>
        <v>0</v>
      </c>
      <c r="K14" s="1">
        <f t="shared" ca="1" si="0"/>
        <v>4.5818839087140795E-2</v>
      </c>
      <c r="L14" s="1">
        <f t="shared" ca="1" si="1"/>
        <v>3.4818915883983545E-2</v>
      </c>
      <c r="N14" s="30">
        <f t="shared" ca="1" si="2"/>
        <v>241.39561502919966</v>
      </c>
      <c r="O14" s="23">
        <f ca="1">L14*E14*1000/COS(G14*3.14/180)-J14*E14*L2*1000/COS(3.14*G2/180)</f>
        <v>15.781501867278338</v>
      </c>
      <c r="P14" s="24">
        <f t="shared" si="3"/>
        <v>323.72828112477293</v>
      </c>
    </row>
    <row r="15" spans="1:21">
      <c r="A15">
        <f>'Airfoil Interpolation'!U17</f>
        <v>1.0963333333333334E-2</v>
      </c>
      <c r="B15">
        <f>'Airfoil Interpolation'!V17</f>
        <v>2.0183333333333331E-2</v>
      </c>
      <c r="D15">
        <f t="shared" si="4"/>
        <v>0.32372828112477292</v>
      </c>
      <c r="E15">
        <f t="shared" ca="1" si="4"/>
        <v>0.4486998576808523</v>
      </c>
      <c r="F15">
        <f t="shared" si="4"/>
        <v>0.20216045416402273</v>
      </c>
      <c r="G15">
        <f t="shared" ca="1" si="4"/>
        <v>-8.1251588848170666</v>
      </c>
      <c r="J15">
        <f t="shared" si="5"/>
        <v>0</v>
      </c>
      <c r="K15" s="1">
        <f t="shared" ca="1" si="0"/>
        <v>1.3704585372246416E-2</v>
      </c>
      <c r="L15" s="1">
        <f t="shared" ca="1" si="1"/>
        <v>1.8618912297337215E-2</v>
      </c>
      <c r="N15" s="30">
        <f t="shared" ca="1" si="2"/>
        <v>226.83998794831788</v>
      </c>
      <c r="O15" s="23">
        <f ca="1">L15*E15*1000/COS(G15*3.14/180)-J15*E15*L2*1000/COS(3.14*G2/180)</f>
        <v>8.4389301541200652</v>
      </c>
      <c r="P15" s="24">
        <f t="shared" si="3"/>
        <v>323.72828112477293</v>
      </c>
    </row>
    <row r="16" spans="1:21">
      <c r="A16">
        <f>'Airfoil Interpolation'!U18</f>
        <v>1.24E-3</v>
      </c>
      <c r="B16">
        <f>'Airfoil Interpolation'!V18</f>
        <v>7.3133333333333331E-3</v>
      </c>
      <c r="D16">
        <f t="shared" si="4"/>
        <v>0.32372828112477292</v>
      </c>
      <c r="E16">
        <f t="shared" ca="1" si="4"/>
        <v>0.4486998576808523</v>
      </c>
      <c r="F16">
        <f t="shared" si="4"/>
        <v>0.20216045416402273</v>
      </c>
      <c r="G16">
        <f t="shared" ca="1" si="4"/>
        <v>-8.1251588848170666</v>
      </c>
      <c r="J16">
        <f t="shared" si="5"/>
        <v>0</v>
      </c>
      <c r="K16" s="1">
        <f t="shared" ca="1" si="0"/>
        <v>2.2606814625715918E-3</v>
      </c>
      <c r="L16" s="1">
        <f t="shared" ca="1" si="1"/>
        <v>7.1363906074620792E-3</v>
      </c>
      <c r="N16" s="30">
        <f t="shared" ca="1" si="2"/>
        <v>221.65309495253214</v>
      </c>
      <c r="O16" s="23">
        <f ca="1">L16*E16*1000/COS(G16*3.14/180)-J16*E16*L2*1000/COS(3.14*G2/180)</f>
        <v>3.2345338399549703</v>
      </c>
      <c r="P16" s="24">
        <f t="shared" si="3"/>
        <v>323.72828112477293</v>
      </c>
      <c r="U16" t="s">
        <v>80</v>
      </c>
    </row>
    <row r="17" spans="1:16">
      <c r="A17">
        <f>'Airfoil Interpolation'!U19</f>
        <v>5.8666666666666665E-4</v>
      </c>
      <c r="B17">
        <f>'Airfoil Interpolation'!V19</f>
        <v>-2.66E-3</v>
      </c>
      <c r="D17">
        <f t="shared" si="4"/>
        <v>0.32372828112477292</v>
      </c>
      <c r="E17">
        <f t="shared" ca="1" si="4"/>
        <v>0.4486998576808523</v>
      </c>
      <c r="F17">
        <f t="shared" si="4"/>
        <v>0.20216045416402273</v>
      </c>
      <c r="G17">
        <f t="shared" ca="1" si="4"/>
        <v>-8.1251588848170666</v>
      </c>
      <c r="J17">
        <f t="shared" si="5"/>
        <v>0</v>
      </c>
      <c r="K17" s="1">
        <f t="shared" ca="1" si="0"/>
        <v>2.0501919099812327E-4</v>
      </c>
      <c r="L17" s="1">
        <f t="shared" ca="1" si="1"/>
        <v>-2.7437148380466147E-3</v>
      </c>
      <c r="N17" s="30">
        <f t="shared" ca="1" si="2"/>
        <v>220.72137616825336</v>
      </c>
      <c r="O17" s="23">
        <f ca="1">L17*E17*1000/COS(G17*3.14/180)-J17*E17*L2*1000/COS(3.14*G2/180)</f>
        <v>-1.2435752159598283</v>
      </c>
      <c r="P17" s="24">
        <f t="shared" si="3"/>
        <v>323.72828112477293</v>
      </c>
    </row>
    <row r="18" spans="1:16">
      <c r="A18">
        <f>'Airfoil Interpolation'!U20</f>
        <v>8.6966666666666668E-3</v>
      </c>
      <c r="B18">
        <f>'Airfoil Interpolation'!V20</f>
        <v>-1.345E-2</v>
      </c>
      <c r="D18">
        <f t="shared" si="4"/>
        <v>0.32372828112477292</v>
      </c>
      <c r="E18">
        <f t="shared" ca="1" si="4"/>
        <v>0.4486998576808523</v>
      </c>
      <c r="F18">
        <f t="shared" si="4"/>
        <v>0.20216045416402273</v>
      </c>
      <c r="G18">
        <f t="shared" ca="1" si="4"/>
        <v>-8.1251588848170666</v>
      </c>
      <c r="J18">
        <f t="shared" si="5"/>
        <v>0</v>
      </c>
      <c r="K18" s="1">
        <f t="shared" ca="1" si="0"/>
        <v>6.7094440021889211E-3</v>
      </c>
      <c r="L18" s="1">
        <f t="shared" ca="1" si="1"/>
        <v>-1.4690977343543285E-2</v>
      </c>
      <c r="N18" s="30">
        <f t="shared" ca="1" si="2"/>
        <v>223.6694746284526</v>
      </c>
      <c r="O18" s="23">
        <f ca="1">L18*E18*1000/COS(G18*3.14/180)-J18*E18*L2*1000/COS(3.14*G2/180)</f>
        <v>-6.6586130123000045</v>
      </c>
      <c r="P18" s="24">
        <f t="shared" si="3"/>
        <v>323.72828112477293</v>
      </c>
    </row>
    <row r="19" spans="1:16">
      <c r="A19">
        <f>'Airfoil Interpolation'!U21</f>
        <v>3.4016666666666667E-2</v>
      </c>
      <c r="B19">
        <f>'Airfoil Interpolation'!V21</f>
        <v>-2.5763333333333333E-2</v>
      </c>
      <c r="D19">
        <f t="shared" si="4"/>
        <v>0.32372828112477292</v>
      </c>
      <c r="E19">
        <f t="shared" ca="1" si="4"/>
        <v>0.4486998576808523</v>
      </c>
      <c r="F19">
        <f t="shared" si="4"/>
        <v>0.20216045416402273</v>
      </c>
      <c r="G19">
        <f t="shared" ca="1" si="4"/>
        <v>-8.1251588848170666</v>
      </c>
      <c r="J19">
        <f t="shared" si="5"/>
        <v>0</v>
      </c>
      <c r="K19" s="1">
        <f t="shared" ca="1" si="0"/>
        <v>3.0036091017983848E-2</v>
      </c>
      <c r="L19" s="1">
        <f t="shared" ca="1" si="1"/>
        <v>-3.0617366982570289E-2</v>
      </c>
      <c r="N19" s="30">
        <f t="shared" ca="1" si="2"/>
        <v>234.24216232107682</v>
      </c>
      <c r="O19" s="23">
        <f ca="1">L19*E19*1000/COS(G19*3.14/180)-J19*E19*L2*1000/COS(3.14*G2/180)</f>
        <v>-13.87717055340147</v>
      </c>
      <c r="P19" s="24">
        <f t="shared" si="3"/>
        <v>323.72828112477293</v>
      </c>
    </row>
    <row r="20" spans="1:16">
      <c r="A20">
        <f>'Airfoil Interpolation'!U22</f>
        <v>9.5993333333333333E-2</v>
      </c>
      <c r="B20">
        <f>'Airfoil Interpolation'!V22</f>
        <v>-4.0866666666666662E-2</v>
      </c>
      <c r="D20">
        <f t="shared" ref="D20:G31" si="6">D19</f>
        <v>0.32372828112477292</v>
      </c>
      <c r="E20">
        <f t="shared" ca="1" si="6"/>
        <v>0.4486998576808523</v>
      </c>
      <c r="F20">
        <f t="shared" si="6"/>
        <v>0.20216045416402273</v>
      </c>
      <c r="G20">
        <f t="shared" ca="1" si="6"/>
        <v>-8.1251588848170666</v>
      </c>
      <c r="J20">
        <f t="shared" si="5"/>
        <v>0</v>
      </c>
      <c r="K20" s="1">
        <f t="shared" ca="1" si="0"/>
        <v>8.9257677439396901E-2</v>
      </c>
      <c r="L20" s="1">
        <f t="shared" ca="1" si="1"/>
        <v>-5.4564507042044019E-2</v>
      </c>
      <c r="N20" s="30">
        <f t="shared" ca="1" si="2"/>
        <v>261.08405423427757</v>
      </c>
      <c r="O20" s="23">
        <f ca="1">L20*E20*1000/COS(G20*3.14/180)-J20*E20*L2*1000/COS(3.14*G2/180)</f>
        <v>-24.731093657262438</v>
      </c>
      <c r="P20" s="24">
        <f t="shared" si="3"/>
        <v>323.72828112477293</v>
      </c>
    </row>
    <row r="21" spans="1:16">
      <c r="A21">
        <f>'Airfoil Interpolation'!U23</f>
        <v>0.17773666666666665</v>
      </c>
      <c r="B21">
        <f>'Airfoil Interpolation'!V23</f>
        <v>-4.8433333333333335E-2</v>
      </c>
      <c r="D21">
        <f t="shared" si="6"/>
        <v>0.32372828112477292</v>
      </c>
      <c r="E21">
        <f t="shared" ca="1" si="6"/>
        <v>0.4486998576808523</v>
      </c>
      <c r="F21">
        <f t="shared" si="6"/>
        <v>0.20216045416402273</v>
      </c>
      <c r="G21">
        <f t="shared" ca="1" si="6"/>
        <v>-8.1251588848170666</v>
      </c>
      <c r="J21">
        <f t="shared" si="5"/>
        <v>0</v>
      </c>
      <c r="K21" s="1">
        <f t="shared" ca="1" si="0"/>
        <v>0.16911237293304163</v>
      </c>
      <c r="L21" s="1">
        <f t="shared" ca="1" si="1"/>
        <v>-7.3795599694035333E-2</v>
      </c>
      <c r="N21" s="30">
        <f t="shared" ca="1" si="2"/>
        <v>297.27780105405128</v>
      </c>
      <c r="O21" s="23">
        <f ca="1">L21*E21*1000/COS(G21*3.14/180)-J21*E21*L2*1000/COS(3.14*G2/180)</f>
        <v>-33.447491537324218</v>
      </c>
      <c r="P21" s="24">
        <f t="shared" si="3"/>
        <v>323.72828112477293</v>
      </c>
    </row>
    <row r="22" spans="1:16">
      <c r="A22">
        <f>'Airfoil Interpolation'!U24</f>
        <v>0.26286666666666669</v>
      </c>
      <c r="B22">
        <f>'Airfoil Interpolation'!V24</f>
        <v>-5.0946666666666668E-2</v>
      </c>
      <c r="D22">
        <f t="shared" si="6"/>
        <v>0.32372828112477292</v>
      </c>
      <c r="E22">
        <f t="shared" ca="1" si="6"/>
        <v>0.4486998576808523</v>
      </c>
      <c r="F22">
        <f t="shared" si="6"/>
        <v>0.20216045416402273</v>
      </c>
      <c r="G22">
        <f t="shared" ca="1" si="6"/>
        <v>-8.1251588848170666</v>
      </c>
      <c r="J22">
        <f t="shared" si="5"/>
        <v>0</v>
      </c>
      <c r="K22" s="1">
        <f t="shared" ca="1" si="0"/>
        <v>0.25303363107543114</v>
      </c>
      <c r="L22" s="1">
        <f t="shared" ca="1" si="1"/>
        <v>-8.8456621941416944E-2</v>
      </c>
      <c r="N22" s="30">
        <f t="shared" ca="1" si="2"/>
        <v>335.31469733454929</v>
      </c>
      <c r="O22" s="23">
        <f ca="1">L22*E22*1000/COS(G22*3.14/180)-J22*E22*L2*1000/COS(3.14*G2/180)</f>
        <v>-40.092527550053504</v>
      </c>
      <c r="P22" s="24">
        <f t="shared" si="3"/>
        <v>323.72828112477293</v>
      </c>
    </row>
    <row r="23" spans="1:16">
      <c r="A23">
        <f>'Airfoil Interpolation'!U25</f>
        <v>0.34875999999999996</v>
      </c>
      <c r="B23">
        <f>'Airfoil Interpolation'!V25</f>
        <v>-5.0783333333333333E-2</v>
      </c>
      <c r="D23">
        <f t="shared" si="6"/>
        <v>0.32372828112477292</v>
      </c>
      <c r="E23">
        <f t="shared" ca="1" si="6"/>
        <v>0.4486998576808523</v>
      </c>
      <c r="F23">
        <f t="shared" si="6"/>
        <v>0.20216045416402273</v>
      </c>
      <c r="G23">
        <f t="shared" ca="1" si="6"/>
        <v>-8.1251588848170666</v>
      </c>
      <c r="J23">
        <f t="shared" si="5"/>
        <v>0</v>
      </c>
      <c r="K23" s="1">
        <f t="shared" ca="1" si="0"/>
        <v>0.33808868643740148</v>
      </c>
      <c r="L23" s="1">
        <f t="shared" ca="1" si="1"/>
        <v>-0.10054990194209026</v>
      </c>
      <c r="N23" s="30">
        <f t="shared" ca="1" si="2"/>
        <v>373.86548161194963</v>
      </c>
      <c r="O23" s="23">
        <f ca="1">L23*E23*1000/COS(G23*3.14/180)-J23*E23*L2*1000/COS(3.14*G2/180)</f>
        <v>-45.573747055797369</v>
      </c>
      <c r="P23" s="24">
        <f t="shared" si="3"/>
        <v>323.72828112477293</v>
      </c>
    </row>
    <row r="24" spans="1:16">
      <c r="A24">
        <f>'Airfoil Interpolation'!U26</f>
        <v>0.435</v>
      </c>
      <c r="B24">
        <f>'Airfoil Interpolation'!V26</f>
        <v>-4.8313333333333333E-2</v>
      </c>
      <c r="D24">
        <f t="shared" si="6"/>
        <v>0.32372828112477292</v>
      </c>
      <c r="E24">
        <f t="shared" ca="1" si="6"/>
        <v>0.4486998576808523</v>
      </c>
      <c r="F24">
        <f t="shared" si="6"/>
        <v>0.20216045416402273</v>
      </c>
      <c r="G24">
        <f t="shared" ca="1" si="6"/>
        <v>-8.1251588848170666</v>
      </c>
      <c r="J24">
        <f t="shared" si="5"/>
        <v>0</v>
      </c>
      <c r="K24" s="1">
        <f t="shared" ca="1" si="0"/>
        <v>0.4238127827822899</v>
      </c>
      <c r="L24" s="1">
        <f t="shared" ca="1" si="1"/>
        <v>-0.11038598313494265</v>
      </c>
      <c r="N24" s="30">
        <f t="shared" ca="1" si="2"/>
        <v>412.71950541456636</v>
      </c>
      <c r="O24" s="23">
        <f ca="1">L24*E24*1000/COS(G24*3.14/180)-J24*E24*L2*1000/COS(3.14*G2/180)</f>
        <v>-50.031902336361554</v>
      </c>
      <c r="P24" s="24">
        <f t="shared" si="3"/>
        <v>323.72828112477293</v>
      </c>
    </row>
    <row r="25" spans="1:16">
      <c r="A25">
        <f>'Airfoil Interpolation'!U27</f>
        <v>0.52162333333333333</v>
      </c>
      <c r="B25">
        <f>'Airfoil Interpolation'!V27</f>
        <v>-4.4040000000000003E-2</v>
      </c>
      <c r="D25">
        <f t="shared" si="6"/>
        <v>0.32372828112477292</v>
      </c>
      <c r="E25">
        <f t="shared" ca="1" si="6"/>
        <v>0.4486998576808523</v>
      </c>
      <c r="F25">
        <f t="shared" si="6"/>
        <v>0.20216045416402273</v>
      </c>
      <c r="G25">
        <f t="shared" ca="1" si="6"/>
        <v>-8.1251588848170666</v>
      </c>
      <c r="J25">
        <f t="shared" si="5"/>
        <v>0</v>
      </c>
      <c r="K25" s="1">
        <f t="shared" ca="1" si="0"/>
        <v>0.51017111580919061</v>
      </c>
      <c r="L25" s="1">
        <f t="shared" ca="1" si="1"/>
        <v>-0.11847343103068536</v>
      </c>
      <c r="N25" s="30">
        <f t="shared" ca="1" si="2"/>
        <v>451.86099386469886</v>
      </c>
      <c r="O25" s="23">
        <f ca="1">L25*E25*1000/COS(G25*3.14/180)-J25*E25*L2*1000/COS(3.14*G2/180)</f>
        <v>-53.697498200789084</v>
      </c>
      <c r="P25" s="24">
        <f t="shared" si="3"/>
        <v>323.72828112477293</v>
      </c>
    </row>
    <row r="26" spans="1:16">
      <c r="A26">
        <f>'Airfoil Interpolation'!U28</f>
        <v>0.60833000000000004</v>
      </c>
      <c r="B26">
        <f>'Airfoil Interpolation'!V28</f>
        <v>-3.8383333333333332E-2</v>
      </c>
      <c r="D26">
        <f t="shared" si="6"/>
        <v>0.32372828112477292</v>
      </c>
      <c r="E26">
        <f t="shared" ca="1" si="6"/>
        <v>0.4486998576808523</v>
      </c>
      <c r="F26">
        <f t="shared" si="6"/>
        <v>0.20216045416402273</v>
      </c>
      <c r="G26">
        <f t="shared" ca="1" si="6"/>
        <v>-8.1251588848170666</v>
      </c>
      <c r="J26">
        <f t="shared" si="5"/>
        <v>0</v>
      </c>
      <c r="K26" s="1">
        <f t="shared" ca="1" si="0"/>
        <v>0.59680736275867463</v>
      </c>
      <c r="L26" s="1">
        <f t="shared" ca="1" si="1"/>
        <v>-0.12518943690531725</v>
      </c>
      <c r="N26" s="30">
        <f t="shared" ca="1" si="2"/>
        <v>491.12844542932942</v>
      </c>
      <c r="O26" s="23">
        <f ca="1">L26*E26*1000/COS(G26*3.14/180)-J26*E26*L2*1000/COS(3.14*G2/180)</f>
        <v>-56.741494734291422</v>
      </c>
      <c r="P26" s="24">
        <f t="shared" si="3"/>
        <v>323.72828112477293</v>
      </c>
    </row>
    <row r="27" spans="1:16">
      <c r="A27">
        <f>'Airfoil Interpolation'!U29</f>
        <v>0.69499</v>
      </c>
      <c r="B27">
        <f>'Airfoil Interpolation'!V29</f>
        <v>-3.1469999999999998E-2</v>
      </c>
      <c r="D27">
        <f t="shared" si="6"/>
        <v>0.32372828112477292</v>
      </c>
      <c r="E27">
        <f t="shared" ca="1" si="6"/>
        <v>0.4486998576808523</v>
      </c>
      <c r="F27">
        <f t="shared" si="6"/>
        <v>0.20216045416402273</v>
      </c>
      <c r="G27">
        <f t="shared" ca="1" si="6"/>
        <v>-8.1251588848170666</v>
      </c>
      <c r="J27">
        <f t="shared" si="5"/>
        <v>0</v>
      </c>
      <c r="K27" s="1">
        <f t="shared" ca="1" si="0"/>
        <v>0.68357493375239253</v>
      </c>
      <c r="L27" s="1">
        <f t="shared" ca="1" si="1"/>
        <v>-0.13064211697843783</v>
      </c>
      <c r="N27" s="30">
        <f t="shared" ca="1" si="2"/>
        <v>530.45541896920474</v>
      </c>
      <c r="O27" s="23">
        <f ca="1">L27*E27*1000/COS(G27*3.14/180)-J27*E27*L2*1000/COS(3.14*G2/180)</f>
        <v>-59.212895080078951</v>
      </c>
      <c r="P27" s="24">
        <f t="shared" si="3"/>
        <v>323.72828112477293</v>
      </c>
    </row>
    <row r="28" spans="1:16">
      <c r="A28">
        <f>'Airfoil Interpolation'!U30</f>
        <v>0.78156666666666663</v>
      </c>
      <c r="B28">
        <f>'Airfoil Interpolation'!V30</f>
        <v>-2.3653333333333335E-2</v>
      </c>
      <c r="D28">
        <f t="shared" si="6"/>
        <v>0.32372828112477292</v>
      </c>
      <c r="E28">
        <f t="shared" ca="1" si="6"/>
        <v>0.4486998576808523</v>
      </c>
      <c r="F28">
        <f t="shared" si="6"/>
        <v>0.20216045416402273</v>
      </c>
      <c r="G28">
        <f t="shared" ca="1" si="6"/>
        <v>-8.1251588848170666</v>
      </c>
      <c r="J28">
        <f t="shared" si="5"/>
        <v>0</v>
      </c>
      <c r="K28" s="1">
        <f t="shared" ca="1" si="0"/>
        <v>0.77038761626961161</v>
      </c>
      <c r="L28" s="1">
        <f t="shared" ca="1" si="1"/>
        <v>-0.13517957240600259</v>
      </c>
      <c r="N28" s="30">
        <f t="shared" ca="1" si="2"/>
        <v>569.80283908457773</v>
      </c>
      <c r="O28" s="23">
        <f ca="1">L28*E28*1000/COS(G28*3.14/180)-J28*E28*L2*1000/COS(3.14*G2/180)</f>
        <v>-61.269474369951226</v>
      </c>
      <c r="P28" s="24">
        <f t="shared" si="3"/>
        <v>323.72828112477293</v>
      </c>
    </row>
    <row r="29" spans="1:16">
      <c r="A29">
        <f>'Airfoil Interpolation'!U31</f>
        <v>0.86806666666666665</v>
      </c>
      <c r="B29">
        <f>'Airfoil Interpolation'!V31</f>
        <v>-1.482E-2</v>
      </c>
      <c r="D29">
        <f t="shared" si="6"/>
        <v>0.32372828112477292</v>
      </c>
      <c r="E29">
        <f t="shared" ca="1" si="6"/>
        <v>0.4486998576808523</v>
      </c>
      <c r="F29">
        <f t="shared" si="6"/>
        <v>0.20216045416402273</v>
      </c>
      <c r="G29">
        <f t="shared" ca="1" si="6"/>
        <v>-8.1251588848170666</v>
      </c>
      <c r="J29">
        <f t="shared" si="5"/>
        <v>0</v>
      </c>
      <c r="K29" s="1">
        <f t="shared" ca="1" si="0"/>
        <v>0.85726802013019821</v>
      </c>
      <c r="L29" s="1">
        <f t="shared" ca="1" si="1"/>
        <v>-0.13868942115965593</v>
      </c>
      <c r="N29" s="30">
        <f t="shared" ca="1" si="2"/>
        <v>609.18095356477158</v>
      </c>
      <c r="O29" s="23">
        <f ca="1">L29*E29*1000/COS(G29*3.14/180)-J29*E29*L2*1000/COS(3.14*G2/180)</f>
        <v>-62.86029600392186</v>
      </c>
      <c r="P29" s="24">
        <f t="shared" si="3"/>
        <v>323.72828112477293</v>
      </c>
    </row>
    <row r="30" spans="1:16">
      <c r="A30">
        <f>'Airfoil Interpolation'!U32</f>
        <v>0.95356333333333332</v>
      </c>
      <c r="B30">
        <f>'Airfoil Interpolation'!V32</f>
        <v>-5.4099999999999999E-3</v>
      </c>
      <c r="D30">
        <f t="shared" si="6"/>
        <v>0.32372828112477292</v>
      </c>
      <c r="E30">
        <f t="shared" ca="1" si="6"/>
        <v>0.4486998576808523</v>
      </c>
      <c r="F30">
        <f t="shared" si="6"/>
        <v>0.20216045416402273</v>
      </c>
      <c r="G30">
        <f t="shared" ca="1" si="6"/>
        <v>-8.1251588848170666</v>
      </c>
      <c r="J30">
        <f t="shared" si="5"/>
        <v>0</v>
      </c>
      <c r="K30" s="1">
        <f t="shared" ca="1" si="0"/>
        <v>0.94323661491984745</v>
      </c>
      <c r="L30" s="1">
        <f t="shared" ca="1" si="1"/>
        <v>-0.14147943184748335</v>
      </c>
      <c r="N30" s="30">
        <f t="shared" ca="1" si="2"/>
        <v>648.14579508139741</v>
      </c>
      <c r="O30" s="23">
        <f ca="1">L30*E30*1000/COS(G30*3.14/180)-J30*E30*L2*1000/COS(3.14*G2/180)</f>
        <v>-64.124854585423478</v>
      </c>
      <c r="P30" s="24">
        <f t="shared" si="3"/>
        <v>323.72828112477293</v>
      </c>
    </row>
    <row r="31" spans="1:16" ht="15" thickBot="1">
      <c r="A31">
        <f>'Airfoil Interpolation'!U33</f>
        <v>1</v>
      </c>
      <c r="B31">
        <f>'Airfoil Interpolation'!V33</f>
        <v>-2.5666666666666687E-4</v>
      </c>
      <c r="D31">
        <f t="shared" si="6"/>
        <v>0.32372828112477292</v>
      </c>
      <c r="E31">
        <f t="shared" ca="1" si="6"/>
        <v>0.4486998576808523</v>
      </c>
      <c r="F31">
        <f t="shared" si="6"/>
        <v>0.20216045416402273</v>
      </c>
      <c r="G31">
        <f t="shared" ca="1" si="6"/>
        <v>-8.1251588848170666</v>
      </c>
      <c r="J31">
        <f t="shared" si="5"/>
        <v>0</v>
      </c>
      <c r="K31" s="1">
        <f t="shared" ca="1" si="0"/>
        <v>0.98993559219491944</v>
      </c>
      <c r="L31" s="1">
        <f t="shared" ca="1" si="1"/>
        <v>-0.14295241333703293</v>
      </c>
      <c r="N31" s="31">
        <f t="shared" ca="1" si="2"/>
        <v>669.31187617140472</v>
      </c>
      <c r="O31" s="32">
        <f ca="1">L31*E31*1000/COS(G31*3.14/180)-J31*E31*L2*1000/COS(3.14*G2/180)</f>
        <v>-64.792476179537687</v>
      </c>
      <c r="P31" s="33">
        <f t="shared" si="3"/>
        <v>323.72828112477293</v>
      </c>
    </row>
  </sheetData>
  <pageMargins left="0.7" right="0.7" top="0.75" bottom="0.75" header="0.3" footer="0.3"/>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opLeftCell="A11" workbookViewId="0">
      <selection activeCell="V15" sqref="V15"/>
    </sheetView>
  </sheetViews>
  <sheetFormatPr baseColWidth="10" defaultColWidth="8.83203125" defaultRowHeight="14" x14ac:dyDescent="0"/>
  <sheetData>
    <row r="1" spans="1:16" ht="15" thickBot="1">
      <c r="A1">
        <v>6</v>
      </c>
      <c r="D1" t="s">
        <v>0</v>
      </c>
      <c r="E1" t="s">
        <v>1</v>
      </c>
      <c r="F1" t="s">
        <v>2</v>
      </c>
      <c r="G1" t="s">
        <v>5</v>
      </c>
      <c r="J1" t="s">
        <v>10</v>
      </c>
      <c r="K1" t="s">
        <v>9</v>
      </c>
      <c r="N1" s="6" t="s">
        <v>6</v>
      </c>
      <c r="O1" s="6" t="s">
        <v>7</v>
      </c>
      <c r="P1" s="6" t="s">
        <v>8</v>
      </c>
    </row>
    <row r="2" spans="1:16">
      <c r="A2">
        <f>'Airfoil Interpolation'!Y4</f>
        <v>1</v>
      </c>
      <c r="B2">
        <f>'Airfoil Interpolation'!Z4</f>
        <v>5.1916666666666669E-4</v>
      </c>
      <c r="D2" s="4">
        <f>'Loft Viewer'!G5</f>
        <v>0.40466035140596612</v>
      </c>
      <c r="E2" s="4">
        <f ca="1">'Loft Viewer'!G6</f>
        <v>0.40928703234402064</v>
      </c>
      <c r="F2" s="4">
        <f>'Loft Viewer'!G7</f>
        <v>0.25270056770502841</v>
      </c>
      <c r="G2" s="4">
        <f ca="1">-'Loft Viewer'!G8</f>
        <v>-7.6784723507248209</v>
      </c>
      <c r="J2">
        <f>'Loft Viewer'!B2</f>
        <v>0</v>
      </c>
      <c r="K2" s="1">
        <f ca="1">((A2)*COS(3.14*G2/180)-B2*SIN(3.14*G2/180))</f>
        <v>0.9911118804646879</v>
      </c>
      <c r="L2" s="1">
        <f ca="1">((A2)*SIN(3.14*G2/180)+B2*COS(3.14*G2/180))/COS(3.14*G2/180)</f>
        <v>-0.13423438652456152</v>
      </c>
      <c r="N2" s="27">
        <f ca="1">K2*E2*1000/COS(G2*3.14/180)+F2*1000</f>
        <v>685.10123117094781</v>
      </c>
      <c r="O2" s="28">
        <f ca="1">L2*E2*1000/COS(G2*3.14/180)-J2*E2*L2*1000/COS(3.14*G2/180)</f>
        <v>-55.436967700138631</v>
      </c>
      <c r="P2" s="29">
        <f>D2*1000</f>
        <v>404.66035140596614</v>
      </c>
    </row>
    <row r="3" spans="1:16">
      <c r="A3">
        <f>'Airfoil Interpolation'!Y5</f>
        <v>0.95414083333333333</v>
      </c>
      <c r="B3">
        <f>'Airfoil Interpolation'!Z5</f>
        <v>5.6933333333333332E-3</v>
      </c>
      <c r="D3">
        <f>D2</f>
        <v>0.40466035140596612</v>
      </c>
      <c r="E3">
        <f ca="1">E2</f>
        <v>0.40928703234402064</v>
      </c>
      <c r="F3">
        <f>F2</f>
        <v>0.25270056770502841</v>
      </c>
      <c r="G3">
        <f ca="1">G2</f>
        <v>-7.6784723507248209</v>
      </c>
      <c r="J3">
        <f>J2</f>
        <v>0</v>
      </c>
      <c r="K3" s="1">
        <f t="shared" ref="K3:K31" ca="1" si="0">((A3)*COS(3.14*G3/180)-B3*SIN(3.14*G3/180))</f>
        <v>0.94635448697467439</v>
      </c>
      <c r="L3" s="1">
        <f t="shared" ref="L3:L31" ca="1" si="1">((A3)*SIN(3.14*G3/180)+B3*COS(3.14*G3/180))/COS(3.14*G3/180)</f>
        <v>-0.12288053420317277</v>
      </c>
      <c r="N3" s="30">
        <f t="shared" ref="N3:N31" ca="1" si="2">K3*E3*1000/COS(G3*3.14/180)+F3*1000</f>
        <v>666.61703914318991</v>
      </c>
      <c r="O3" s="23">
        <f ca="1">L3*E3*1000/COS(G3*3.14/180)-J3*E3*L2*1000/COS(3.14*G2/180)</f>
        <v>-50.747981809792243</v>
      </c>
      <c r="P3" s="24">
        <f t="shared" ref="P3:P31" si="3">D3*1000</f>
        <v>404.66035140596614</v>
      </c>
    </row>
    <row r="4" spans="1:16">
      <c r="A4">
        <f>'Airfoil Interpolation'!Y6</f>
        <v>0.86873250000000002</v>
      </c>
      <c r="B4">
        <f>'Airfoil Interpolation'!Z6</f>
        <v>1.5681666666666667E-2</v>
      </c>
      <c r="D4">
        <f t="shared" ref="D4:G19" si="4">D3</f>
        <v>0.40466035140596612</v>
      </c>
      <c r="E4">
        <f t="shared" ca="1" si="4"/>
        <v>0.40928703234402064</v>
      </c>
      <c r="F4">
        <f t="shared" si="4"/>
        <v>0.25270056770502841</v>
      </c>
      <c r="G4">
        <f t="shared" ca="1" si="4"/>
        <v>-7.6784723507248209</v>
      </c>
      <c r="J4">
        <f t="shared" ref="J4:J31" si="5">J3</f>
        <v>0</v>
      </c>
      <c r="K4" s="1">
        <f t="shared" ca="1" si="0"/>
        <v>0.86304510172814719</v>
      </c>
      <c r="L4" s="1">
        <f t="shared" ca="1" si="1"/>
        <v>-0.10138312448103197</v>
      </c>
      <c r="N4" s="30">
        <f t="shared" ca="1" si="2"/>
        <v>632.21140122428687</v>
      </c>
      <c r="O4" s="23">
        <f ca="1">L4*E4*1000/COS(G4*3.14/180)-J4*E4*L2*1000/COS(3.14*G2/180)</f>
        <v>-41.869845296053974</v>
      </c>
      <c r="P4" s="24">
        <f t="shared" si="3"/>
        <v>404.66035140596614</v>
      </c>
    </row>
    <row r="5" spans="1:16">
      <c r="A5">
        <f>'Airfoil Interpolation'!Y7</f>
        <v>0.78247333333333335</v>
      </c>
      <c r="B5">
        <f>'Airfoil Interpolation'!Z7</f>
        <v>2.6420833333333331E-2</v>
      </c>
      <c r="D5">
        <f t="shared" si="4"/>
        <v>0.40466035140596612</v>
      </c>
      <c r="E5">
        <f t="shared" ca="1" si="4"/>
        <v>0.40928703234402064</v>
      </c>
      <c r="F5">
        <f t="shared" si="4"/>
        <v>0.25270056770502841</v>
      </c>
      <c r="G5">
        <f t="shared" ca="1" si="4"/>
        <v>-7.6784723507248209</v>
      </c>
      <c r="J5">
        <f t="shared" si="5"/>
        <v>0</v>
      </c>
      <c r="K5" s="1">
        <f t="shared" ca="1" si="0"/>
        <v>0.77899277561463542</v>
      </c>
      <c r="L5" s="1">
        <f t="shared" ca="1" si="1"/>
        <v>-7.9020228610717613E-2</v>
      </c>
      <c r="N5" s="30">
        <f t="shared" ca="1" si="2"/>
        <v>597.49893887751205</v>
      </c>
      <c r="O5" s="23">
        <f ca="1">L5*E5*1000/COS(G5*3.14/180)-J5*E5*L2*1000/COS(3.14*G2/180)</f>
        <v>-32.634274827548566</v>
      </c>
      <c r="P5" s="24">
        <f t="shared" si="3"/>
        <v>404.66035140596614</v>
      </c>
    </row>
    <row r="6" spans="1:16">
      <c r="A6">
        <f>'Airfoil Interpolation'!Y8</f>
        <v>0.6962058333333333</v>
      </c>
      <c r="B6">
        <f>'Airfoil Interpolation'!Z8</f>
        <v>3.7739166666666664E-2</v>
      </c>
      <c r="D6">
        <f t="shared" si="4"/>
        <v>0.40466035140596612</v>
      </c>
      <c r="E6">
        <f t="shared" ca="1" si="4"/>
        <v>0.40928703234402064</v>
      </c>
      <c r="F6">
        <f t="shared" si="4"/>
        <v>0.25270056770502841</v>
      </c>
      <c r="G6">
        <f t="shared" ca="1" si="4"/>
        <v>-7.6784723507248209</v>
      </c>
      <c r="J6">
        <f t="shared" si="5"/>
        <v>0</v>
      </c>
      <c r="K6" s="1">
        <f t="shared" ca="1" si="0"/>
        <v>0.69500953649716968</v>
      </c>
      <c r="L6" s="1">
        <f t="shared" ca="1" si="1"/>
        <v>-5.6077043127460008E-2</v>
      </c>
      <c r="N6" s="30">
        <f t="shared" ca="1" si="2"/>
        <v>562.81500851622513</v>
      </c>
      <c r="O6" s="23">
        <f ca="1">L6*E6*1000/COS(G6*3.14/180)-J6*E6*L2*1000/COS(3.14*G2/180)</f>
        <v>-23.159052676919412</v>
      </c>
      <c r="P6" s="24">
        <f t="shared" si="3"/>
        <v>404.66035140596614</v>
      </c>
    </row>
    <row r="7" spans="1:16">
      <c r="A7">
        <f>'Airfoil Interpolation'!Y9</f>
        <v>0.61005583333333335</v>
      </c>
      <c r="B7">
        <f>'Airfoil Interpolation'!Z9</f>
        <v>4.9661666666666666E-2</v>
      </c>
      <c r="D7">
        <f t="shared" si="4"/>
        <v>0.40466035140596612</v>
      </c>
      <c r="E7">
        <f t="shared" ca="1" si="4"/>
        <v>0.40928703234402064</v>
      </c>
      <c r="F7">
        <f t="shared" si="4"/>
        <v>0.25270056770502841</v>
      </c>
      <c r="G7">
        <f t="shared" ca="1" si="4"/>
        <v>-7.6784723507248209</v>
      </c>
      <c r="J7">
        <f t="shared" si="5"/>
        <v>0</v>
      </c>
      <c r="K7" s="1">
        <f t="shared" ca="1" si="0"/>
        <v>0.61122342922560224</v>
      </c>
      <c r="L7" s="1">
        <f t="shared" ca="1" si="1"/>
        <v>-3.2545524520035694E-2</v>
      </c>
      <c r="N7" s="30">
        <f t="shared" ca="1" si="2"/>
        <v>528.2124909140432</v>
      </c>
      <c r="O7" s="23">
        <f ca="1">L7*E7*1000/COS(G7*3.14/180)-J7*E7*L2*1000/COS(3.14*G2/180)</f>
        <v>-13.440856983923123</v>
      </c>
      <c r="P7" s="24">
        <f t="shared" si="3"/>
        <v>404.66035140596614</v>
      </c>
    </row>
    <row r="8" spans="1:16">
      <c r="A8">
        <f>'Airfoil Interpolation'!Y10</f>
        <v>0.52404583333333332</v>
      </c>
      <c r="B8">
        <f>'Airfoil Interpolation'!Z10</f>
        <v>6.1243333333333337E-2</v>
      </c>
      <c r="D8">
        <f t="shared" si="4"/>
        <v>0.40466035140596612</v>
      </c>
      <c r="E8">
        <f t="shared" ca="1" si="4"/>
        <v>0.40928703234402064</v>
      </c>
      <c r="F8">
        <f t="shared" si="4"/>
        <v>0.25270056770502841</v>
      </c>
      <c r="G8">
        <f t="shared" ca="1" si="4"/>
        <v>-7.6784723507248209</v>
      </c>
      <c r="J8">
        <f t="shared" si="5"/>
        <v>0</v>
      </c>
      <c r="K8" s="1">
        <f t="shared" ca="1" si="0"/>
        <v>0.52753055081036015</v>
      </c>
      <c r="L8" s="1">
        <f t="shared" ca="1" si="1"/>
        <v>-9.3737047433914891E-3</v>
      </c>
      <c r="N8" s="30">
        <f t="shared" ca="1" si="2"/>
        <v>493.64847555581406</v>
      </c>
      <c r="O8" s="23">
        <f ca="1">L8*E8*1000/COS(G8*3.14/180)-J8*E8*L2*1000/COS(3.14*G2/180)</f>
        <v>-3.8712119937684326</v>
      </c>
      <c r="P8" s="24">
        <f t="shared" si="3"/>
        <v>404.66035140596614</v>
      </c>
    </row>
    <row r="9" spans="1:16">
      <c r="A9">
        <f>'Airfoil Interpolation'!Y11</f>
        <v>0.43835249999999998</v>
      </c>
      <c r="B9">
        <f>'Airfoil Interpolation'!Z11</f>
        <v>7.0564999999999989E-2</v>
      </c>
      <c r="D9">
        <f t="shared" si="4"/>
        <v>0.40466035140596612</v>
      </c>
      <c r="E9">
        <f t="shared" ca="1" si="4"/>
        <v>0.40928703234402064</v>
      </c>
      <c r="F9">
        <f t="shared" si="4"/>
        <v>0.25270056770502841</v>
      </c>
      <c r="G9">
        <f t="shared" ca="1" si="4"/>
        <v>-7.6784723507248209</v>
      </c>
      <c r="J9">
        <f t="shared" si="5"/>
        <v>0</v>
      </c>
      <c r="K9" s="1">
        <f t="shared" ca="1" si="0"/>
        <v>0.44384968743467584</v>
      </c>
      <c r="L9" s="1">
        <f t="shared" ca="1" si="1"/>
        <v>1.1495443074742142E-2</v>
      </c>
      <c r="N9" s="30">
        <f t="shared" ca="1" si="2"/>
        <v>459.08942224477073</v>
      </c>
      <c r="O9" s="23">
        <f ca="1">L9*E9*1000/COS(G9*3.14/180)-J9*E9*L2*1000/COS(3.14*G2/180)</f>
        <v>4.7474609370428151</v>
      </c>
      <c r="P9" s="24">
        <f t="shared" si="3"/>
        <v>404.66035140596614</v>
      </c>
    </row>
    <row r="10" spans="1:16">
      <c r="A10">
        <f>'Airfoil Interpolation'!Y12</f>
        <v>0.35281416666666665</v>
      </c>
      <c r="B10">
        <f>'Airfoil Interpolation'!Z12</f>
        <v>7.6670000000000002E-2</v>
      </c>
      <c r="D10">
        <f t="shared" si="4"/>
        <v>0.40466035140596612</v>
      </c>
      <c r="E10">
        <f t="shared" ca="1" si="4"/>
        <v>0.40928703234402064</v>
      </c>
      <c r="F10">
        <f t="shared" si="4"/>
        <v>0.25270056770502841</v>
      </c>
      <c r="G10">
        <f t="shared" ca="1" si="4"/>
        <v>-7.6784723507248209</v>
      </c>
      <c r="J10">
        <f t="shared" si="5"/>
        <v>0</v>
      </c>
      <c r="K10" s="1">
        <f t="shared" ca="1" si="0"/>
        <v>0.35989286106391116</v>
      </c>
      <c r="L10" s="1">
        <f t="shared" ca="1" si="1"/>
        <v>2.9127037425464495E-2</v>
      </c>
      <c r="N10" s="30">
        <f t="shared" ca="1" si="2"/>
        <v>424.41639998701555</v>
      </c>
      <c r="O10" s="23">
        <f ca="1">L10*E10*1000/COS(G10*3.14/180)-J10*E10*L2*1000/COS(3.14*G2/180)</f>
        <v>12.029068517855162</v>
      </c>
      <c r="P10" s="24">
        <f t="shared" si="3"/>
        <v>404.66035140596614</v>
      </c>
    </row>
    <row r="11" spans="1:16">
      <c r="A11">
        <f>'Airfoil Interpolation'!Y13</f>
        <v>0.26802333333333334</v>
      </c>
      <c r="B11">
        <f>'Airfoil Interpolation'!Z13</f>
        <v>7.774416666666667E-2</v>
      </c>
      <c r="D11">
        <f t="shared" si="4"/>
        <v>0.40466035140596612</v>
      </c>
      <c r="E11">
        <f t="shared" ca="1" si="4"/>
        <v>0.40928703234402064</v>
      </c>
      <c r="F11">
        <f t="shared" si="4"/>
        <v>0.25270056770502841</v>
      </c>
      <c r="G11">
        <f t="shared" ca="1" si="4"/>
        <v>-7.6784723507248209</v>
      </c>
      <c r="J11">
        <f t="shared" si="5"/>
        <v>0</v>
      </c>
      <c r="K11" s="1">
        <f t="shared" ca="1" si="0"/>
        <v>0.27600498879031804</v>
      </c>
      <c r="L11" s="1">
        <f t="shared" ca="1" si="1"/>
        <v>4.1627070161843055E-2</v>
      </c>
      <c r="N11" s="30">
        <f t="shared" ca="1" si="2"/>
        <v>389.7718548293289</v>
      </c>
      <c r="O11" s="23">
        <f ca="1">L11*E11*1000/COS(G11*3.14/180)-J11*E11*L2*1000/COS(3.14*G2/180)</f>
        <v>17.191411260267884</v>
      </c>
      <c r="P11" s="24">
        <f t="shared" si="3"/>
        <v>404.66035140596614</v>
      </c>
    </row>
    <row r="12" spans="1:16">
      <c r="A12">
        <f>'Airfoil Interpolation'!Y14</f>
        <v>0.18410833333333332</v>
      </c>
      <c r="B12">
        <f>'Airfoil Interpolation'!Z14</f>
        <v>7.324E-2</v>
      </c>
      <c r="D12">
        <f t="shared" si="4"/>
        <v>0.40466035140596612</v>
      </c>
      <c r="E12">
        <f t="shared" ca="1" si="4"/>
        <v>0.40928703234402064</v>
      </c>
      <c r="F12">
        <f t="shared" si="4"/>
        <v>0.25270056770502841</v>
      </c>
      <c r="G12">
        <f t="shared" ca="1" si="4"/>
        <v>-7.6784723507248209</v>
      </c>
      <c r="J12">
        <f t="shared" si="5"/>
        <v>0</v>
      </c>
      <c r="K12" s="1">
        <f t="shared" ca="1" si="0"/>
        <v>0.19224013769620615</v>
      </c>
      <c r="L12" s="1">
        <f t="shared" ca="1" si="1"/>
        <v>4.8430747911218298E-2</v>
      </c>
      <c r="N12" s="30">
        <f t="shared" ca="1" si="2"/>
        <v>355.17811573803033</v>
      </c>
      <c r="O12" s="23">
        <f ca="1">L12*E12*1000/COS(G12*3.14/180)-J12*E12*L2*1000/COS(3.14*G2/180)</f>
        <v>20.001237217681958</v>
      </c>
      <c r="P12" s="24">
        <f t="shared" si="3"/>
        <v>404.66035140596614</v>
      </c>
    </row>
    <row r="13" spans="1:16">
      <c r="A13">
        <f>'Airfoil Interpolation'!Y15</f>
        <v>0.10430666666666667</v>
      </c>
      <c r="B13">
        <f>'Airfoil Interpolation'!Z15</f>
        <v>6.007916666666667E-2</v>
      </c>
      <c r="D13">
        <f t="shared" si="4"/>
        <v>0.40466035140596612</v>
      </c>
      <c r="E13">
        <f t="shared" ca="1" si="4"/>
        <v>0.40928703234402064</v>
      </c>
      <c r="F13">
        <f t="shared" si="4"/>
        <v>0.25270056770502841</v>
      </c>
      <c r="G13">
        <f t="shared" ca="1" si="4"/>
        <v>-7.6784723507248209</v>
      </c>
      <c r="J13">
        <f t="shared" si="5"/>
        <v>0</v>
      </c>
      <c r="K13" s="1">
        <f t="shared" ca="1" si="0"/>
        <v>0.11139570737252596</v>
      </c>
      <c r="L13" s="1">
        <f t="shared" ca="1" si="1"/>
        <v>4.6023472711800288E-2</v>
      </c>
      <c r="N13" s="30">
        <f t="shared" ca="1" si="2"/>
        <v>321.79047052560247</v>
      </c>
      <c r="O13" s="23">
        <f ca="1">L13*E13*1000/COS(G13*3.14/180)-J13*E13*L2*1000/COS(3.14*G2/180)</f>
        <v>19.007065448952169</v>
      </c>
      <c r="P13" s="24">
        <f t="shared" si="3"/>
        <v>404.66035140596614</v>
      </c>
    </row>
    <row r="14" spans="1:16">
      <c r="A14">
        <f>'Airfoil Interpolation'!Y16</f>
        <v>3.9877499999999996E-2</v>
      </c>
      <c r="B14">
        <f>'Airfoil Interpolation'!Z16</f>
        <v>3.8715833333333338E-2</v>
      </c>
      <c r="D14">
        <f t="shared" si="4"/>
        <v>0.40466035140596612</v>
      </c>
      <c r="E14">
        <f t="shared" ca="1" si="4"/>
        <v>0.40928703234402064</v>
      </c>
      <c r="F14">
        <f t="shared" si="4"/>
        <v>0.25270056770502841</v>
      </c>
      <c r="G14">
        <f t="shared" ca="1" si="4"/>
        <v>-7.6784723507248209</v>
      </c>
      <c r="J14">
        <f t="shared" si="5"/>
        <v>0</v>
      </c>
      <c r="K14" s="1">
        <f t="shared" ca="1" si="0"/>
        <v>4.4690663406998878E-2</v>
      </c>
      <c r="L14" s="1">
        <f t="shared" ca="1" si="1"/>
        <v>3.334219851595014E-2</v>
      </c>
      <c r="N14" s="30">
        <f t="shared" ca="1" si="2"/>
        <v>294.24219870423411</v>
      </c>
      <c r="O14" s="23">
        <f ca="1">L14*E14*1000/COS(G14*3.14/180)-J14*E14*L2*1000/COS(3.14*G2/180)</f>
        <v>13.769872459931337</v>
      </c>
      <c r="P14" s="24">
        <f t="shared" si="3"/>
        <v>404.66035140596614</v>
      </c>
    </row>
    <row r="15" spans="1:16">
      <c r="A15">
        <f>'Airfoil Interpolation'!Y17</f>
        <v>1.0939166666666666E-2</v>
      </c>
      <c r="B15">
        <f>'Airfoil Interpolation'!Z17</f>
        <v>1.9499166666666665E-2</v>
      </c>
      <c r="D15">
        <f t="shared" si="4"/>
        <v>0.40466035140596612</v>
      </c>
      <c r="E15">
        <f t="shared" ca="1" si="4"/>
        <v>0.40928703234402064</v>
      </c>
      <c r="F15">
        <f t="shared" si="4"/>
        <v>0.25270056770502841</v>
      </c>
      <c r="G15">
        <f t="shared" ca="1" si="4"/>
        <v>-7.6784723507248209</v>
      </c>
      <c r="J15">
        <f t="shared" si="5"/>
        <v>0</v>
      </c>
      <c r="K15" s="1">
        <f t="shared" ca="1" si="0"/>
        <v>1.3445225153536695E-2</v>
      </c>
      <c r="L15" s="1">
        <f t="shared" ca="1" si="1"/>
        <v>1.8025075089382288E-2</v>
      </c>
      <c r="N15" s="30">
        <f t="shared" ca="1" si="2"/>
        <v>281.33825958639176</v>
      </c>
      <c r="O15" s="23">
        <f ca="1">L15*E15*1000/COS(G15*3.14/180)-J15*E15*L2*1000/COS(3.14*G2/180)</f>
        <v>7.4441097500737676</v>
      </c>
      <c r="P15" s="24">
        <f t="shared" si="3"/>
        <v>404.66035140596614</v>
      </c>
    </row>
    <row r="16" spans="1:16">
      <c r="A16">
        <f>'Airfoil Interpolation'!Y18</f>
        <v>1.225E-3</v>
      </c>
      <c r="B16">
        <f>'Airfoil Interpolation'!Z18</f>
        <v>7.011666666666666E-3</v>
      </c>
      <c r="D16">
        <f t="shared" si="4"/>
        <v>0.40466035140596612</v>
      </c>
      <c r="E16">
        <f t="shared" ca="1" si="4"/>
        <v>0.40928703234402064</v>
      </c>
      <c r="F16">
        <f t="shared" si="4"/>
        <v>0.25270056770502841</v>
      </c>
      <c r="G16">
        <f t="shared" ca="1" si="4"/>
        <v>-7.6784723507248209</v>
      </c>
      <c r="J16">
        <f t="shared" si="5"/>
        <v>0</v>
      </c>
      <c r="K16" s="1">
        <f t="shared" ca="1" si="0"/>
        <v>2.1504106958709179E-3</v>
      </c>
      <c r="L16" s="1">
        <f t="shared" ca="1" si="1"/>
        <v>6.8465935640074109E-3</v>
      </c>
      <c r="N16" s="30">
        <f t="shared" ca="1" si="2"/>
        <v>276.67365552717695</v>
      </c>
      <c r="O16" s="23">
        <f ca="1">L16*E16*1000/COS(G16*3.14/180)-J16*E16*L2*1000/COS(3.14*G2/180)</f>
        <v>2.8275496025335278</v>
      </c>
      <c r="P16" s="24">
        <f t="shared" si="3"/>
        <v>404.66035140596614</v>
      </c>
    </row>
    <row r="17" spans="1:16">
      <c r="A17">
        <f>'Airfoil Interpolation'!Y19</f>
        <v>6.5333333333333324E-4</v>
      </c>
      <c r="B17">
        <f>'Airfoil Interpolation'!Z19</f>
        <v>-2.9399999999999999E-3</v>
      </c>
      <c r="D17">
        <f t="shared" si="4"/>
        <v>0.40466035140596612</v>
      </c>
      <c r="E17">
        <f t="shared" ca="1" si="4"/>
        <v>0.40928703234402064</v>
      </c>
      <c r="F17">
        <f t="shared" si="4"/>
        <v>0.25270056770502841</v>
      </c>
      <c r="G17">
        <f t="shared" ca="1" si="4"/>
        <v>-7.6784723507248209</v>
      </c>
      <c r="J17">
        <f t="shared" si="5"/>
        <v>0</v>
      </c>
      <c r="K17" s="1">
        <f t="shared" ca="1" si="0"/>
        <v>2.5485440741202181E-4</v>
      </c>
      <c r="L17" s="1">
        <f t="shared" ca="1" si="1"/>
        <v>-3.0280389880849357E-3</v>
      </c>
      <c r="N17" s="30">
        <f t="shared" ca="1" si="2"/>
        <v>275.89081667747683</v>
      </c>
      <c r="O17" s="23">
        <f ca="1">L17*E17*1000/COS(G17*3.14/180)-J17*E17*L2*1000/COS(3.14*G2/180)</f>
        <v>-1.2505387324618935</v>
      </c>
      <c r="P17" s="24">
        <f t="shared" si="3"/>
        <v>404.66035140596614</v>
      </c>
    </row>
    <row r="18" spans="1:16">
      <c r="A18">
        <f>'Airfoil Interpolation'!Y20</f>
        <v>8.955833333333333E-3</v>
      </c>
      <c r="B18">
        <f>'Airfoil Interpolation'!Z20</f>
        <v>-1.36075E-2</v>
      </c>
      <c r="D18">
        <f t="shared" si="4"/>
        <v>0.40466035140596612</v>
      </c>
      <c r="E18">
        <f t="shared" ca="1" si="4"/>
        <v>0.40928703234402064</v>
      </c>
      <c r="F18">
        <f t="shared" si="4"/>
        <v>0.25270056770502841</v>
      </c>
      <c r="G18">
        <f t="shared" ca="1" si="4"/>
        <v>-7.6784723507248209</v>
      </c>
      <c r="J18">
        <f t="shared" si="5"/>
        <v>0</v>
      </c>
      <c r="K18" s="1">
        <f t="shared" ca="1" si="0"/>
        <v>7.0583778202785007E-3</v>
      </c>
      <c r="L18" s="1">
        <f t="shared" ca="1" si="1"/>
        <v>-1.4814330363455109E-2</v>
      </c>
      <c r="N18" s="30">
        <f t="shared" ca="1" si="2"/>
        <v>278.70057889602134</v>
      </c>
      <c r="O18" s="23">
        <f ca="1">L18*E18*1000/COS(G18*3.14/180)-J18*E18*L2*1000/COS(3.14*G2/180)</f>
        <v>-6.1181160440419164</v>
      </c>
      <c r="P18" s="24">
        <f t="shared" si="3"/>
        <v>404.66035140596614</v>
      </c>
    </row>
    <row r="19" spans="1:16">
      <c r="A19">
        <f>'Airfoil Interpolation'!Y21</f>
        <v>3.4213333333333332E-2</v>
      </c>
      <c r="B19">
        <f>'Airfoil Interpolation'!Z21</f>
        <v>-2.5736666666666668E-2</v>
      </c>
      <c r="D19">
        <f t="shared" si="4"/>
        <v>0.40466035140596612</v>
      </c>
      <c r="E19">
        <f t="shared" ca="1" si="4"/>
        <v>0.40928703234402064</v>
      </c>
      <c r="F19">
        <f t="shared" si="4"/>
        <v>0.25270056770502841</v>
      </c>
      <c r="G19">
        <f t="shared" ca="1" si="4"/>
        <v>-7.6784723507248209</v>
      </c>
      <c r="J19">
        <f t="shared" si="5"/>
        <v>0</v>
      </c>
      <c r="K19" s="1">
        <f t="shared" ca="1" si="0"/>
        <v>3.0469827152916577E-2</v>
      </c>
      <c r="L19" s="1">
        <f t="shared" ca="1" si="1"/>
        <v>-3.0347034899849225E-2</v>
      </c>
      <c r="N19" s="30">
        <f t="shared" ca="1" si="2"/>
        <v>288.36918761893912</v>
      </c>
      <c r="O19" s="23">
        <f ca="1">L19*E19*1000/COS(G19*3.14/180)-J19*E19*L2*1000/COS(3.14*G2/180)</f>
        <v>-12.532910806949557</v>
      </c>
      <c r="P19" s="24">
        <f t="shared" si="3"/>
        <v>404.66035140596614</v>
      </c>
    </row>
    <row r="20" spans="1:16">
      <c r="A20">
        <f>'Airfoil Interpolation'!Y22</f>
        <v>9.5731666666666659E-2</v>
      </c>
      <c r="B20">
        <f>'Airfoil Interpolation'!Z22</f>
        <v>-4.052583333333333E-2</v>
      </c>
      <c r="D20">
        <f t="shared" ref="D20:G31" si="6">D19</f>
        <v>0.40466035140596612</v>
      </c>
      <c r="E20">
        <f t="shared" ca="1" si="6"/>
        <v>0.40928703234402064</v>
      </c>
      <c r="F20">
        <f t="shared" si="6"/>
        <v>0.25270056770502841</v>
      </c>
      <c r="G20">
        <f t="shared" ca="1" si="6"/>
        <v>-7.6784723507248209</v>
      </c>
      <c r="J20">
        <f t="shared" si="5"/>
        <v>0</v>
      </c>
      <c r="K20" s="1">
        <f t="shared" ca="1" si="0"/>
        <v>8.9462071426903614E-2</v>
      </c>
      <c r="L20" s="1">
        <f t="shared" ca="1" si="1"/>
        <v>-5.3426015569584921E-2</v>
      </c>
      <c r="N20" s="30">
        <f t="shared" ca="1" si="2"/>
        <v>312.73217854136806</v>
      </c>
      <c r="O20" s="23">
        <f ca="1">L20*E20*1000/COS(G20*3.14/180)-J20*E20*L2*1000/COS(3.14*G2/180)</f>
        <v>-22.064214514335731</v>
      </c>
      <c r="P20" s="24">
        <f t="shared" si="3"/>
        <v>404.66035140596614</v>
      </c>
    </row>
    <row r="21" spans="1:16">
      <c r="A21">
        <f>'Airfoil Interpolation'!Y23</f>
        <v>0.17730083333333332</v>
      </c>
      <c r="B21">
        <f>'Airfoil Interpolation'!Z23</f>
        <v>-4.8174166666666664E-2</v>
      </c>
      <c r="D21">
        <f t="shared" si="6"/>
        <v>0.40466035140596612</v>
      </c>
      <c r="E21">
        <f t="shared" ca="1" si="6"/>
        <v>0.40928703234402064</v>
      </c>
      <c r="F21">
        <f t="shared" si="6"/>
        <v>0.25270056770502841</v>
      </c>
      <c r="G21">
        <f t="shared" ca="1" si="6"/>
        <v>-7.6784723507248209</v>
      </c>
      <c r="J21">
        <f t="shared" si="5"/>
        <v>0</v>
      </c>
      <c r="K21" s="1">
        <f t="shared" ca="1" si="0"/>
        <v>0.16927917798042622</v>
      </c>
      <c r="L21" s="1">
        <f t="shared" ca="1" si="1"/>
        <v>-7.2066083942099082E-2</v>
      </c>
      <c r="N21" s="30">
        <f t="shared" ca="1" si="2"/>
        <v>345.69555307220423</v>
      </c>
      <c r="O21" s="23">
        <f ca="1">L21*E21*1000/COS(G21*3.14/180)-J21*E21*L2*1000/COS(3.14*G2/180)</f>
        <v>-29.762308088193322</v>
      </c>
      <c r="P21" s="24">
        <f t="shared" si="3"/>
        <v>404.66035140596614</v>
      </c>
    </row>
    <row r="22" spans="1:16">
      <c r="A22">
        <f>'Airfoil Interpolation'!Y24</f>
        <v>0.26238833333333333</v>
      </c>
      <c r="B22">
        <f>'Airfoil Interpolation'!Z24</f>
        <v>-5.0788333333333331E-2</v>
      </c>
      <c r="D22">
        <f t="shared" si="6"/>
        <v>0.40466035140596612</v>
      </c>
      <c r="E22">
        <f t="shared" ca="1" si="6"/>
        <v>0.40928703234402064</v>
      </c>
      <c r="F22">
        <f t="shared" si="6"/>
        <v>0.25270056770502841</v>
      </c>
      <c r="G22">
        <f t="shared" ca="1" si="6"/>
        <v>-7.6784723507248209</v>
      </c>
      <c r="J22">
        <f t="shared" si="5"/>
        <v>0</v>
      </c>
      <c r="K22" s="1">
        <f t="shared" ca="1" si="0"/>
        <v>0.25325539792597279</v>
      </c>
      <c r="L22" s="1">
        <f t="shared" ca="1" si="1"/>
        <v>-8.614609356592437E-2</v>
      </c>
      <c r="N22" s="30">
        <f t="shared" ca="1" si="2"/>
        <v>380.37658461138579</v>
      </c>
      <c r="O22" s="23">
        <f ca="1">L22*E22*1000/COS(G22*3.14/180)-J22*E22*L2*1000/COS(3.14*G2/180)</f>
        <v>-35.577159699191085</v>
      </c>
      <c r="P22" s="24">
        <f t="shared" si="3"/>
        <v>404.66035140596614</v>
      </c>
    </row>
    <row r="23" spans="1:16">
      <c r="A23">
        <f>'Airfoil Interpolation'!Y25</f>
        <v>0.34833999999999998</v>
      </c>
      <c r="B23">
        <f>'Airfoil Interpolation'!Z25</f>
        <v>-5.0641666666666668E-2</v>
      </c>
      <c r="D23">
        <f t="shared" si="6"/>
        <v>0.40466035140596612</v>
      </c>
      <c r="E23">
        <f t="shared" ca="1" si="6"/>
        <v>0.40928703234402064</v>
      </c>
      <c r="F23">
        <f t="shared" si="6"/>
        <v>0.25270056770502841</v>
      </c>
      <c r="G23">
        <f t="shared" ca="1" si="6"/>
        <v>-7.6784723507248209</v>
      </c>
      <c r="J23">
        <f t="shared" si="5"/>
        <v>0</v>
      </c>
      <c r="K23" s="1">
        <f t="shared" ca="1" si="0"/>
        <v>0.3384567434479635</v>
      </c>
      <c r="L23" s="1">
        <f t="shared" ca="1" si="1"/>
        <v>-9.7581719385299096E-2</v>
      </c>
      <c r="N23" s="30">
        <f t="shared" ca="1" si="2"/>
        <v>415.56357627575119</v>
      </c>
      <c r="O23" s="23">
        <f ca="1">L23*E23*1000/COS(G23*3.14/180)-J23*E23*L2*1000/COS(3.14*G2/180)</f>
        <v>-40.299916927001334</v>
      </c>
      <c r="P23" s="24">
        <f t="shared" si="3"/>
        <v>404.66035140596614</v>
      </c>
    </row>
    <row r="24" spans="1:16">
      <c r="A24">
        <f>'Airfoil Interpolation'!Y26</f>
        <v>0.434695</v>
      </c>
      <c r="B24">
        <f>'Airfoil Interpolation'!Z26</f>
        <v>-4.8176666666666666E-2</v>
      </c>
      <c r="D24">
        <f t="shared" si="6"/>
        <v>0.40466035140596612</v>
      </c>
      <c r="E24">
        <f t="shared" ca="1" si="6"/>
        <v>0.40928703234402064</v>
      </c>
      <c r="F24">
        <f t="shared" si="6"/>
        <v>0.25270056770502841</v>
      </c>
      <c r="G24">
        <f t="shared" ca="1" si="6"/>
        <v>-7.6784723507248209</v>
      </c>
      <c r="J24">
        <f t="shared" si="5"/>
        <v>0</v>
      </c>
      <c r="K24" s="1">
        <f t="shared" ca="1" si="0"/>
        <v>0.42436741477741879</v>
      </c>
      <c r="L24" s="1">
        <f t="shared" ca="1" si="1"/>
        <v>-0.1067533624711276</v>
      </c>
      <c r="N24" s="30">
        <f t="shared" ca="1" si="2"/>
        <v>451.04350980766179</v>
      </c>
      <c r="O24" s="23">
        <f ca="1">L24*E24*1000/COS(G24*3.14/180)-J24*E24*L2*1000/COS(3.14*G2/180)</f>
        <v>-44.087680216799228</v>
      </c>
      <c r="P24" s="24">
        <f t="shared" si="3"/>
        <v>404.66035140596614</v>
      </c>
    </row>
    <row r="25" spans="1:16">
      <c r="A25">
        <f>'Airfoil Interpolation'!Y27</f>
        <v>0.52144416666666671</v>
      </c>
      <c r="B25">
        <f>'Airfoil Interpolation'!Z27</f>
        <v>-4.39125E-2</v>
      </c>
      <c r="D25">
        <f t="shared" si="6"/>
        <v>0.40466035140596612</v>
      </c>
      <c r="E25">
        <f t="shared" ca="1" si="6"/>
        <v>0.40928703234402064</v>
      </c>
      <c r="F25">
        <f t="shared" si="6"/>
        <v>0.25270056770502841</v>
      </c>
      <c r="G25">
        <f t="shared" ca="1" si="6"/>
        <v>-7.6784723507248209</v>
      </c>
      <c r="J25">
        <f t="shared" si="5"/>
        <v>0</v>
      </c>
      <c r="K25" s="1">
        <f t="shared" ca="1" si="0"/>
        <v>0.51090899446398919</v>
      </c>
      <c r="L25" s="1">
        <f t="shared" ca="1" si="1"/>
        <v>-0.11417895424917232</v>
      </c>
      <c r="N25" s="30">
        <f t="shared" ca="1" si="2"/>
        <v>486.78399987147668</v>
      </c>
      <c r="O25" s="23">
        <f ca="1">L25*E25*1000/COS(G25*3.14/180)-J25*E25*L2*1000/COS(3.14*G2/180)</f>
        <v>-47.154348171351685</v>
      </c>
      <c r="P25" s="24">
        <f t="shared" si="3"/>
        <v>404.66035140596614</v>
      </c>
    </row>
    <row r="26" spans="1:16">
      <c r="A26">
        <f>'Airfoil Interpolation'!Y28</f>
        <v>0.60830000000000006</v>
      </c>
      <c r="B26">
        <f>'Airfoil Interpolation'!Z28</f>
        <v>-3.8269166666666667E-2</v>
      </c>
      <c r="D26">
        <f t="shared" si="6"/>
        <v>0.40466035140596612</v>
      </c>
      <c r="E26">
        <f t="shared" ca="1" si="6"/>
        <v>0.40928703234402064</v>
      </c>
      <c r="F26">
        <f t="shared" si="6"/>
        <v>0.25270056770502841</v>
      </c>
      <c r="G26">
        <f t="shared" ca="1" si="6"/>
        <v>-7.6784723507248209</v>
      </c>
      <c r="J26">
        <f t="shared" si="5"/>
        <v>0</v>
      </c>
      <c r="K26" s="1">
        <f t="shared" ca="1" si="0"/>
        <v>0.59774046824329541</v>
      </c>
      <c r="L26" s="1">
        <f t="shared" ca="1" si="1"/>
        <v>-0.12023975307289078</v>
      </c>
      <c r="N26" s="30">
        <f t="shared" ca="1" si="2"/>
        <v>522.64421223500585</v>
      </c>
      <c r="O26" s="23">
        <f ca="1">L26*E26*1000/COS(G26*3.14/180)-J26*E26*L2*1000/COS(3.14*G2/180)</f>
        <v>-49.657375281815966</v>
      </c>
      <c r="P26" s="24">
        <f t="shared" si="3"/>
        <v>404.66035140596614</v>
      </c>
    </row>
    <row r="27" spans="1:16">
      <c r="A27">
        <f>'Airfoil Interpolation'!Y29</f>
        <v>0.69513250000000004</v>
      </c>
      <c r="B27">
        <f>'Airfoil Interpolation'!Z29</f>
        <v>-3.1392500000000004E-2</v>
      </c>
      <c r="D27">
        <f t="shared" si="6"/>
        <v>0.40466035140596612</v>
      </c>
      <c r="E27">
        <f t="shared" ca="1" si="6"/>
        <v>0.40928703234402064</v>
      </c>
      <c r="F27">
        <f t="shared" si="6"/>
        <v>0.25270056770502841</v>
      </c>
      <c r="G27">
        <f t="shared" ca="1" si="6"/>
        <v>-7.6784723507248209</v>
      </c>
      <c r="J27">
        <f t="shared" si="5"/>
        <v>0</v>
      </c>
      <c r="K27" s="1">
        <f t="shared" ca="1" si="0"/>
        <v>0.68471352505222516</v>
      </c>
      <c r="L27" s="1">
        <f t="shared" ca="1" si="1"/>
        <v>-0.12506407431370142</v>
      </c>
      <c r="N27" s="30">
        <f t="shared" ca="1" si="2"/>
        <v>558.56289645543654</v>
      </c>
      <c r="O27" s="23">
        <f ca="1">L27*E27*1000/COS(G27*3.14/180)-J27*E27*L2*1000/COS(3.14*G2/180)</f>
        <v>-51.649754043520034</v>
      </c>
      <c r="P27" s="24">
        <f t="shared" si="3"/>
        <v>404.66035140596614</v>
      </c>
    </row>
    <row r="28" spans="1:16">
      <c r="A28">
        <f>'Airfoil Interpolation'!Y30</f>
        <v>0.78189583333333335</v>
      </c>
      <c r="B28">
        <f>'Airfoil Interpolation'!Z30</f>
        <v>-2.3609166666666667E-2</v>
      </c>
      <c r="D28">
        <f t="shared" si="6"/>
        <v>0.40466035140596612</v>
      </c>
      <c r="E28">
        <f t="shared" ca="1" si="6"/>
        <v>0.40928703234402064</v>
      </c>
      <c r="F28">
        <f t="shared" si="6"/>
        <v>0.25270056770502841</v>
      </c>
      <c r="G28">
        <f t="shared" ca="1" si="6"/>
        <v>-7.6784723507248209</v>
      </c>
      <c r="J28">
        <f t="shared" si="5"/>
        <v>0</v>
      </c>
      <c r="K28" s="1">
        <f t="shared" ca="1" si="0"/>
        <v>0.77173911691582953</v>
      </c>
      <c r="L28" s="1">
        <f t="shared" ca="1" si="1"/>
        <v>-0.12897240843374969</v>
      </c>
      <c r="N28" s="30">
        <f t="shared" ca="1" si="2"/>
        <v>594.50327693570443</v>
      </c>
      <c r="O28" s="23">
        <f ca="1">L28*E28*1000/COS(G28*3.14/180)-J28*E28*L2*1000/COS(3.14*G2/180)</f>
        <v>-53.263842638731226</v>
      </c>
      <c r="P28" s="24">
        <f t="shared" si="3"/>
        <v>404.66035140596614</v>
      </c>
    </row>
    <row r="29" spans="1:16">
      <c r="A29">
        <f>'Airfoil Interpolation'!Y31</f>
        <v>0.86858083333333325</v>
      </c>
      <c r="B29">
        <f>'Airfoil Interpolation'!Z31</f>
        <v>-1.4829999999999999E-2</v>
      </c>
      <c r="D29">
        <f t="shared" si="6"/>
        <v>0.40466035140596612</v>
      </c>
      <c r="E29">
        <f t="shared" ca="1" si="6"/>
        <v>0.40928703234402064</v>
      </c>
      <c r="F29">
        <f t="shared" si="6"/>
        <v>0.25270056770502841</v>
      </c>
      <c r="G29">
        <f t="shared" ca="1" si="6"/>
        <v>-7.6784723507248209</v>
      </c>
      <c r="J29">
        <f t="shared" si="5"/>
        <v>0</v>
      </c>
      <c r="K29" s="1">
        <f t="shared" ca="1" si="0"/>
        <v>0.85882006717408699</v>
      </c>
      <c r="L29" s="1">
        <f t="shared" ca="1" si="1"/>
        <v>-0.13187435352546462</v>
      </c>
      <c r="N29" s="30">
        <f t="shared" ca="1" si="2"/>
        <v>630.46651967664752</v>
      </c>
      <c r="O29" s="23">
        <f ca="1">L29*E29*1000/COS(G29*3.14/180)-J29*E29*L2*1000/COS(3.14*G2/180)</f>
        <v>-54.462306314709963</v>
      </c>
      <c r="P29" s="24">
        <f t="shared" si="3"/>
        <v>404.66035140596614</v>
      </c>
    </row>
    <row r="30" spans="1:16">
      <c r="A30">
        <f>'Airfoil Interpolation'!Y32</f>
        <v>0.9541466666666667</v>
      </c>
      <c r="B30">
        <f>'Airfoil Interpolation'!Z32</f>
        <v>-5.4600000000000004E-3</v>
      </c>
      <c r="D30">
        <f t="shared" si="6"/>
        <v>0.40466035140596612</v>
      </c>
      <c r="E30">
        <f t="shared" ca="1" si="6"/>
        <v>0.40928703234402064</v>
      </c>
      <c r="F30">
        <f t="shared" si="6"/>
        <v>0.25270056770502841</v>
      </c>
      <c r="G30">
        <f t="shared" ca="1" si="6"/>
        <v>-7.6784723507248209</v>
      </c>
      <c r="J30">
        <f t="shared" si="5"/>
        <v>0</v>
      </c>
      <c r="K30" s="1">
        <f t="shared" ca="1" si="0"/>
        <v>0.94487077937435149</v>
      </c>
      <c r="L30" s="1">
        <f t="shared" ca="1" si="1"/>
        <v>-0.13403465359889974</v>
      </c>
      <c r="N30" s="30">
        <f t="shared" ca="1" si="2"/>
        <v>666.00428817493867</v>
      </c>
      <c r="O30" s="23">
        <f ca="1">L30*E30*1000/COS(G30*3.14/180)-J30*E30*L2*1000/COS(3.14*G2/180)</f>
        <v>-55.354480730627721</v>
      </c>
      <c r="P30" s="24">
        <f t="shared" si="3"/>
        <v>404.66035140596614</v>
      </c>
    </row>
    <row r="31" spans="1:16" ht="15" thickBot="1">
      <c r="A31">
        <f>'Airfoil Interpolation'!Y33</f>
        <v>1</v>
      </c>
      <c r="B31">
        <f>'Airfoil Interpolation'!Z33</f>
        <v>-3.5583333333333344E-4</v>
      </c>
      <c r="D31">
        <f t="shared" si="6"/>
        <v>0.40466035140596612</v>
      </c>
      <c r="E31">
        <f t="shared" ca="1" si="6"/>
        <v>0.40928703234402064</v>
      </c>
      <c r="F31">
        <f t="shared" si="6"/>
        <v>0.25270056770502841</v>
      </c>
      <c r="G31">
        <f t="shared" ca="1" si="6"/>
        <v>-7.6784723507248209</v>
      </c>
      <c r="J31">
        <f t="shared" si="5"/>
        <v>0</v>
      </c>
      <c r="K31" s="1">
        <f t="shared" ca="1" si="0"/>
        <v>0.99099502727312017</v>
      </c>
      <c r="L31" s="1">
        <f t="shared" ca="1" si="1"/>
        <v>-0.1351093865245615</v>
      </c>
      <c r="N31" s="31">
        <f t="shared" ca="1" si="2"/>
        <v>685.05297239929985</v>
      </c>
      <c r="O31" s="32">
        <f ca="1">L31*E31*1000/COS(G31*3.14/180)-J31*E31*L2*1000/COS(3.14*G2/180)</f>
        <v>-55.798330745730112</v>
      </c>
      <c r="P31" s="33">
        <f t="shared" si="3"/>
        <v>404.66035140596614</v>
      </c>
    </row>
  </sheetData>
  <pageMargins left="0.7" right="0.7" top="0.75" bottom="0.75" header="0.3" footer="0.3"/>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opLeftCell="A22" workbookViewId="0">
      <selection activeCell="U31" sqref="U31"/>
    </sheetView>
  </sheetViews>
  <sheetFormatPr baseColWidth="10" defaultColWidth="8.83203125" defaultRowHeight="14" x14ac:dyDescent="0"/>
  <sheetData>
    <row r="1" spans="1:16" ht="15" thickBot="1">
      <c r="A1">
        <v>7</v>
      </c>
      <c r="D1" t="s">
        <v>0</v>
      </c>
      <c r="E1" t="s">
        <v>1</v>
      </c>
      <c r="F1" t="s">
        <v>2</v>
      </c>
      <c r="G1" t="s">
        <v>5</v>
      </c>
      <c r="J1" t="s">
        <v>10</v>
      </c>
      <c r="K1" t="s">
        <v>9</v>
      </c>
      <c r="N1" s="6" t="s">
        <v>6</v>
      </c>
      <c r="O1" s="6" t="s">
        <v>7</v>
      </c>
      <c r="P1" s="6" t="s">
        <v>8</v>
      </c>
    </row>
    <row r="2" spans="1:16">
      <c r="A2">
        <f>'Airfoil Interpolation'!AC4</f>
        <v>1</v>
      </c>
      <c r="B2">
        <f>'Airfoil Interpolation'!AD4</f>
        <v>5.9500000000000004E-4</v>
      </c>
      <c r="D2" s="4">
        <f>'Loft Viewer'!H5</f>
        <v>0.48559242168715933</v>
      </c>
      <c r="E2" s="4">
        <f ca="1">'Loft Viewer'!H6</f>
        <v>0.36987420700718898</v>
      </c>
      <c r="F2" s="4">
        <f>'Loft Viewer'!H7</f>
        <v>0.30324068124603404</v>
      </c>
      <c r="G2" s="4">
        <f ca="1">-'Loft Viewer'!H8</f>
        <v>-6.9841614830261847</v>
      </c>
      <c r="J2">
        <f>'Loft Viewer'!B2</f>
        <v>0</v>
      </c>
      <c r="K2" s="1">
        <f ca="1">((A2)*COS(3.14*G2/180)-B2*SIN(3.14*G2/180))</f>
        <v>0.99265962732311552</v>
      </c>
      <c r="L2" s="1">
        <f ca="1">((A2)*SIN(3.14*G2/180)+B2*COS(3.14*G2/180))/COS(3.14*G2/180)</f>
        <v>-0.12184624530784681</v>
      </c>
      <c r="N2" s="27">
        <f ca="1">K2*E2*1000/COS(G2*3.14/180)+F2*1000</f>
        <v>700.84383162990366</v>
      </c>
      <c r="O2" s="28">
        <f ca="1">L2*E2*1000/COS(G2*3.14/180)-J2*E2*L2*1000/COS(3.14*G2/180)</f>
        <v>-45.404351523914187</v>
      </c>
      <c r="P2" s="29">
        <f>D2*1000</f>
        <v>485.59242168715934</v>
      </c>
    </row>
    <row r="3" spans="1:16">
      <c r="A3">
        <f>'Airfoil Interpolation'!AC5</f>
        <v>0.95472500000000005</v>
      </c>
      <c r="B3">
        <f>'Airfoil Interpolation'!AD5</f>
        <v>5.7100000000000007E-3</v>
      </c>
      <c r="D3">
        <f>D2</f>
        <v>0.48559242168715933</v>
      </c>
      <c r="E3">
        <f ca="1">E2</f>
        <v>0.36987420700718898</v>
      </c>
      <c r="F3">
        <f>F2</f>
        <v>0.30324068124603404</v>
      </c>
      <c r="G3">
        <f ca="1">G2</f>
        <v>-6.9841614830261847</v>
      </c>
      <c r="J3">
        <f>J2</f>
        <v>0</v>
      </c>
      <c r="K3" s="1">
        <f t="shared" ref="K3:K31" ca="1" si="0">((A3)*COS(3.14*G3/180)-B3*SIN(3.14*G3/180))</f>
        <v>0.948341881146469</v>
      </c>
      <c r="L3" s="1">
        <f t="shared" ref="L3:L31" ca="1" si="1">((A3)*SIN(3.14*G3/180)+B3*COS(3.14*G3/180))/COS(3.14*G3/180)</f>
        <v>-0.11118771792653405</v>
      </c>
      <c r="N3" s="30">
        <f t="shared" ref="N3:N31" ca="1" si="2">K3*E3*1000/COS(G3*3.14/180)+F3*1000</f>
        <v>684.32942430394826</v>
      </c>
      <c r="O3" s="23">
        <f ca="1">L3*E3*1000/COS(G3*3.14/180)-J3*E3*L2*1000/COS(3.14*G2/180)</f>
        <v>-41.432595785970058</v>
      </c>
      <c r="P3" s="24">
        <f t="shared" ref="P3:P31" si="3">D3*1000</f>
        <v>485.59242168715934</v>
      </c>
    </row>
    <row r="4" spans="1:16">
      <c r="A4">
        <f>'Airfoil Interpolation'!AC6</f>
        <v>0.86922500000000003</v>
      </c>
      <c r="B4">
        <f>'Airfoil Interpolation'!AD6</f>
        <v>1.5570000000000001E-2</v>
      </c>
      <c r="D4">
        <f t="shared" ref="D4:G19" si="4">D3</f>
        <v>0.48559242168715933</v>
      </c>
      <c r="E4">
        <f t="shared" ca="1" si="4"/>
        <v>0.36987420700718898</v>
      </c>
      <c r="F4">
        <f t="shared" si="4"/>
        <v>0.30324068124603404</v>
      </c>
      <c r="G4">
        <f t="shared" ca="1" si="4"/>
        <v>-6.9841614830261847</v>
      </c>
      <c r="J4">
        <f t="shared" ref="J4:J31" si="5">J3</f>
        <v>0</v>
      </c>
      <c r="K4" s="1">
        <f t="shared" ca="1" si="0"/>
        <v>0.86467398729103828</v>
      </c>
      <c r="L4" s="1">
        <f t="shared" ca="1" si="1"/>
        <v>-9.0858991452713145E-2</v>
      </c>
      <c r="N4" s="30">
        <f t="shared" ca="1" si="2"/>
        <v>653.15171788977386</v>
      </c>
      <c r="O4" s="23">
        <f ca="1">L4*E4*1000/COS(G4*3.14/180)-J4*E4*L2*1000/COS(3.14*G2/180)</f>
        <v>-33.857371448782999</v>
      </c>
      <c r="P4" s="24">
        <f t="shared" si="3"/>
        <v>485.59242168715934</v>
      </c>
    </row>
    <row r="5" spans="1:16">
      <c r="A5">
        <f>'Airfoil Interpolation'!AC7</f>
        <v>0.78272000000000008</v>
      </c>
      <c r="B5">
        <f>'Airfoil Interpolation'!AD7</f>
        <v>2.5974999999999998E-2</v>
      </c>
      <c r="D5">
        <f t="shared" si="4"/>
        <v>0.48559242168715933</v>
      </c>
      <c r="E5">
        <f t="shared" ca="1" si="4"/>
        <v>0.36987420700718898</v>
      </c>
      <c r="F5">
        <f t="shared" si="4"/>
        <v>0.30324068124603404</v>
      </c>
      <c r="G5">
        <f t="shared" ca="1" si="4"/>
        <v>-6.9841614830261847</v>
      </c>
      <c r="J5">
        <f t="shared" si="5"/>
        <v>0</v>
      </c>
      <c r="K5" s="1">
        <f t="shared" ca="1" si="0"/>
        <v>0.78007477901088018</v>
      </c>
      <c r="L5" s="1">
        <f t="shared" ca="1" si="1"/>
        <v>-6.9862211527357859E-2</v>
      </c>
      <c r="N5" s="30">
        <f t="shared" ca="1" si="2"/>
        <v>621.62696978044698</v>
      </c>
      <c r="O5" s="23">
        <f ca="1">L5*E5*1000/COS(G5*3.14/180)-J5*E5*L2*1000/COS(3.14*G2/180)</f>
        <v>-26.033206049246463</v>
      </c>
      <c r="P5" s="24">
        <f t="shared" si="3"/>
        <v>485.59242168715934</v>
      </c>
    </row>
    <row r="6" spans="1:16">
      <c r="A6">
        <f>'Airfoil Interpolation'!AC8</f>
        <v>0.69619500000000001</v>
      </c>
      <c r="B6">
        <f>'Airfoil Interpolation'!AD8</f>
        <v>3.6754999999999996E-2</v>
      </c>
      <c r="D6">
        <f t="shared" si="4"/>
        <v>0.48559242168715933</v>
      </c>
      <c r="E6">
        <f t="shared" ca="1" si="4"/>
        <v>0.36987420700718898</v>
      </c>
      <c r="F6">
        <f t="shared" si="4"/>
        <v>0.30324068124603404</v>
      </c>
      <c r="G6">
        <f t="shared" ca="1" si="4"/>
        <v>-6.9841614830261847</v>
      </c>
      <c r="J6">
        <f t="shared" si="5"/>
        <v>0</v>
      </c>
      <c r="K6" s="1">
        <f t="shared" ca="1" si="0"/>
        <v>0.69550129409451433</v>
      </c>
      <c r="L6" s="1">
        <f t="shared" ca="1" si="1"/>
        <v>-4.8487982777096414E-2</v>
      </c>
      <c r="N6" s="30">
        <f t="shared" ca="1" si="2"/>
        <v>590.11180713392241</v>
      </c>
      <c r="O6" s="23">
        <f ca="1">L6*E6*1000/COS(G6*3.14/180)-J6*E6*L2*1000/COS(3.14*G2/180)</f>
        <v>-18.068389461936118</v>
      </c>
      <c r="P6" s="24">
        <f t="shared" si="3"/>
        <v>485.59242168715934</v>
      </c>
    </row>
    <row r="7" spans="1:16">
      <c r="A7">
        <f>'Airfoil Interpolation'!AC9</f>
        <v>0.60977499999999996</v>
      </c>
      <c r="B7">
        <f>'Airfoil Interpolation'!AD9</f>
        <v>4.7920000000000004E-2</v>
      </c>
      <c r="D7">
        <f t="shared" si="4"/>
        <v>0.48559242168715933</v>
      </c>
      <c r="E7">
        <f t="shared" ca="1" si="4"/>
        <v>0.36987420700718898</v>
      </c>
      <c r="F7">
        <f t="shared" si="4"/>
        <v>0.30324068124603404</v>
      </c>
      <c r="G7">
        <f t="shared" ca="1" si="4"/>
        <v>-6.9841614830261847</v>
      </c>
      <c r="J7">
        <f t="shared" si="5"/>
        <v>0</v>
      </c>
      <c r="K7" s="1">
        <f t="shared" ca="1" si="0"/>
        <v>0.61107882129256175</v>
      </c>
      <c r="L7" s="1">
        <f t="shared" ca="1" si="1"/>
        <v>-2.6741610357592285E-2</v>
      </c>
      <c r="N7" s="30">
        <f t="shared" ca="1" si="2"/>
        <v>558.65291710466113</v>
      </c>
      <c r="O7" s="23">
        <f ca="1">L7*E7*1000/COS(G7*3.14/180)-J7*E7*L2*1000/COS(3.14*G2/180)</f>
        <v>-9.9648985811914219</v>
      </c>
      <c r="P7" s="24">
        <f t="shared" si="3"/>
        <v>485.59242168715934</v>
      </c>
    </row>
    <row r="8" spans="1:16">
      <c r="A8">
        <f>'Airfoil Interpolation'!AC10</f>
        <v>0.52349500000000004</v>
      </c>
      <c r="B8">
        <f>'Airfoil Interpolation'!AD10</f>
        <v>5.8640000000000005E-2</v>
      </c>
      <c r="D8">
        <f t="shared" si="4"/>
        <v>0.48559242168715933</v>
      </c>
      <c r="E8">
        <f t="shared" ca="1" si="4"/>
        <v>0.36987420700718898</v>
      </c>
      <c r="F8">
        <f t="shared" si="4"/>
        <v>0.30324068124603404</v>
      </c>
      <c r="G8">
        <f t="shared" ca="1" si="4"/>
        <v>-6.9841614830261847</v>
      </c>
      <c r="J8">
        <f t="shared" si="5"/>
        <v>0</v>
      </c>
      <c r="K8" s="1">
        <f t="shared" ca="1" si="0"/>
        <v>0.52674122825071157</v>
      </c>
      <c r="L8" s="1">
        <f t="shared" ca="1" si="1"/>
        <v>-5.4573797124312763E-3</v>
      </c>
      <c r="N8" s="30">
        <f t="shared" ca="1" si="2"/>
        <v>527.22565636734248</v>
      </c>
      <c r="O8" s="23">
        <f ca="1">L8*E8*1000/COS(G8*3.14/180)-J8*E8*L2*1000/COS(3.14*G2/180)</f>
        <v>-2.0336185677011582</v>
      </c>
      <c r="P8" s="24">
        <f t="shared" si="3"/>
        <v>485.59242168715934</v>
      </c>
    </row>
    <row r="9" spans="1:16">
      <c r="A9">
        <f>'Airfoil Interpolation'!AC11</f>
        <v>0.437525</v>
      </c>
      <c r="B9">
        <f>'Airfoil Interpolation'!AD11</f>
        <v>6.7229999999999998E-2</v>
      </c>
      <c r="D9">
        <f t="shared" si="4"/>
        <v>0.48559242168715933</v>
      </c>
      <c r="E9">
        <f t="shared" ca="1" si="4"/>
        <v>0.36987420700718898</v>
      </c>
      <c r="F9">
        <f t="shared" si="4"/>
        <v>0.30324068124603404</v>
      </c>
      <c r="G9">
        <f t="shared" ca="1" si="4"/>
        <v>-6.9841614830261847</v>
      </c>
      <c r="J9">
        <f t="shared" si="5"/>
        <v>0</v>
      </c>
      <c r="K9" s="1">
        <f t="shared" ca="1" si="0"/>
        <v>0.44245247065115106</v>
      </c>
      <c r="L9" s="1">
        <f t="shared" ca="1" si="1"/>
        <v>1.3658894146684315E-2</v>
      </c>
      <c r="N9" s="30">
        <f t="shared" ca="1" si="2"/>
        <v>495.81659349556293</v>
      </c>
      <c r="O9" s="23">
        <f ca="1">L9*E9*1000/COS(G9*3.14/180)-J9*E9*L2*1000/COS(3.14*G2/180)</f>
        <v>5.0898017390450505</v>
      </c>
      <c r="P9" s="24">
        <f t="shared" si="3"/>
        <v>485.59242168715934</v>
      </c>
    </row>
    <row r="10" spans="1:16">
      <c r="A10">
        <f>'Airfoil Interpolation'!AC12</f>
        <v>0.35175499999999998</v>
      </c>
      <c r="B10">
        <f>'Airfoil Interpolation'!AD12</f>
        <v>7.281E-2</v>
      </c>
      <c r="D10">
        <f t="shared" si="4"/>
        <v>0.48559242168715933</v>
      </c>
      <c r="E10">
        <f t="shared" ca="1" si="4"/>
        <v>0.36987420700718898</v>
      </c>
      <c r="F10">
        <f t="shared" si="4"/>
        <v>0.30324068124603404</v>
      </c>
      <c r="G10">
        <f t="shared" ca="1" si="4"/>
        <v>-6.9841614830261847</v>
      </c>
      <c r="J10">
        <f t="shared" si="5"/>
        <v>0</v>
      </c>
      <c r="K10" s="1">
        <f t="shared" ca="1" si="0"/>
        <v>0.35799641429757645</v>
      </c>
      <c r="L10" s="1">
        <f t="shared" ca="1" si="1"/>
        <v>2.9740679756738338E-2</v>
      </c>
      <c r="N10" s="30">
        <f t="shared" ca="1" si="2"/>
        <v>464.34518901106003</v>
      </c>
      <c r="O10" s="23">
        <f ca="1">L10*E10*1000/COS(G10*3.14/180)-J10*E10*L2*1000/COS(3.14*G2/180)</f>
        <v>11.082461136355953</v>
      </c>
      <c r="P10" s="24">
        <f t="shared" si="3"/>
        <v>485.59242168715934</v>
      </c>
    </row>
    <row r="11" spans="1:16">
      <c r="A11">
        <f>'Airfoil Interpolation'!AC13</f>
        <v>0.26673999999999998</v>
      </c>
      <c r="B11">
        <f>'Airfoil Interpolation'!AD13</f>
        <v>7.3734999999999995E-2</v>
      </c>
      <c r="D11">
        <f t="shared" si="4"/>
        <v>0.48559242168715933</v>
      </c>
      <c r="E11">
        <f t="shared" ca="1" si="4"/>
        <v>0.36987420700718898</v>
      </c>
      <c r="F11">
        <f t="shared" si="4"/>
        <v>0.30324068124603404</v>
      </c>
      <c r="G11">
        <f t="shared" ca="1" si="4"/>
        <v>-6.9841614830261847</v>
      </c>
      <c r="J11">
        <f t="shared" si="5"/>
        <v>0</v>
      </c>
      <c r="K11" s="1">
        <f t="shared" ca="1" si="0"/>
        <v>0.27372402233345505</v>
      </c>
      <c r="L11" s="1">
        <f t="shared" ca="1" si="1"/>
        <v>4.1075022226584941E-2</v>
      </c>
      <c r="N11" s="30">
        <f t="shared" ca="1" si="2"/>
        <v>432.94222457146861</v>
      </c>
      <c r="O11" s="23">
        <f ca="1">L11*E11*1000/COS(G11*3.14/180)-J11*E11*L2*1000/COS(3.14*G2/180)</f>
        <v>15.306050205457971</v>
      </c>
      <c r="P11" s="24">
        <f t="shared" si="3"/>
        <v>485.59242168715934</v>
      </c>
    </row>
    <row r="12" spans="1:16">
      <c r="A12">
        <f>'Airfoil Interpolation'!AC14</f>
        <v>0.18269999999999997</v>
      </c>
      <c r="B12">
        <f>'Airfoil Interpolation'!AD14</f>
        <v>6.9399999999999989E-2</v>
      </c>
      <c r="D12">
        <f t="shared" si="4"/>
        <v>0.48559242168715933</v>
      </c>
      <c r="E12">
        <f t="shared" ca="1" si="4"/>
        <v>0.36987420700718898</v>
      </c>
      <c r="F12">
        <f t="shared" si="4"/>
        <v>0.30324068124603404</v>
      </c>
      <c r="G12">
        <f t="shared" ca="1" si="4"/>
        <v>-6.9841614830261847</v>
      </c>
      <c r="J12">
        <f t="shared" si="5"/>
        <v>0</v>
      </c>
      <c r="K12" s="1">
        <f t="shared" ca="1" si="0"/>
        <v>0.18978013612377001</v>
      </c>
      <c r="L12" s="1">
        <f t="shared" ca="1" si="1"/>
        <v>4.7029984482256391E-2</v>
      </c>
      <c r="N12" s="30">
        <f t="shared" ca="1" si="2"/>
        <v>401.66167334792965</v>
      </c>
      <c r="O12" s="23">
        <f ca="1">L12*E12*1000/COS(G12*3.14/180)-J12*E12*L2*1000/COS(3.14*G2/180)</f>
        <v>17.525086162495668</v>
      </c>
      <c r="P12" s="24">
        <f t="shared" si="3"/>
        <v>485.59242168715934</v>
      </c>
    </row>
    <row r="13" spans="1:16">
      <c r="A13">
        <f>'Airfoil Interpolation'!AC15</f>
        <v>0.10281999999999999</v>
      </c>
      <c r="B13">
        <f>'Airfoil Interpolation'!AD15</f>
        <v>5.6944999999999996E-2</v>
      </c>
      <c r="D13">
        <f t="shared" si="4"/>
        <v>0.48559242168715933</v>
      </c>
      <c r="E13">
        <f t="shared" ca="1" si="4"/>
        <v>0.36987420700718898</v>
      </c>
      <c r="F13">
        <f t="shared" si="4"/>
        <v>0.30324068124603404</v>
      </c>
      <c r="G13">
        <f t="shared" ca="1" si="4"/>
        <v>-6.9841614830261847</v>
      </c>
      <c r="J13">
        <f t="shared" si="5"/>
        <v>0</v>
      </c>
      <c r="K13" s="1">
        <f t="shared" ca="1" si="0"/>
        <v>0.10897856009326561</v>
      </c>
      <c r="L13" s="1">
        <f t="shared" ca="1" si="1"/>
        <v>4.4355591157447187E-2</v>
      </c>
      <c r="N13" s="30">
        <f t="shared" ca="1" si="2"/>
        <v>371.55206141441334</v>
      </c>
      <c r="O13" s="23">
        <f ca="1">L13*E13*1000/COS(G13*3.14/180)-J13*E13*L2*1000/COS(3.14*G2/180)</f>
        <v>16.528509745011043</v>
      </c>
      <c r="P13" s="24">
        <f t="shared" si="3"/>
        <v>485.59242168715934</v>
      </c>
    </row>
    <row r="14" spans="1:16">
      <c r="A14">
        <f>'Airfoil Interpolation'!AC16</f>
        <v>3.9264999999999994E-2</v>
      </c>
      <c r="B14">
        <f>'Airfoil Interpolation'!AD16</f>
        <v>3.6835E-2</v>
      </c>
      <c r="D14">
        <f t="shared" si="4"/>
        <v>0.48559242168715933</v>
      </c>
      <c r="E14">
        <f t="shared" ca="1" si="4"/>
        <v>0.36987420700718898</v>
      </c>
      <c r="F14">
        <f t="shared" si="4"/>
        <v>0.30324068124603404</v>
      </c>
      <c r="G14">
        <f t="shared" ca="1" si="4"/>
        <v>-6.9841614830261847</v>
      </c>
      <c r="J14">
        <f t="shared" si="5"/>
        <v>0</v>
      </c>
      <c r="K14" s="1">
        <f t="shared" ca="1" si="0"/>
        <v>4.3450632063177425E-2</v>
      </c>
      <c r="L14" s="1">
        <f t="shared" ca="1" si="1"/>
        <v>3.2027344502987401E-2</v>
      </c>
      <c r="N14" s="30">
        <f t="shared" ca="1" si="2"/>
        <v>347.13396735337074</v>
      </c>
      <c r="O14" s="23">
        <f ca="1">L14*E14*1000/COS(G14*3.14/180)-J14*E14*L2*1000/COS(3.14*G2/180)</f>
        <v>11.934555755223526</v>
      </c>
      <c r="P14" s="24">
        <f t="shared" si="3"/>
        <v>485.59242168715934</v>
      </c>
    </row>
    <row r="15" spans="1:16">
      <c r="A15">
        <f>'Airfoil Interpolation'!AC17</f>
        <v>1.0914999999999999E-2</v>
      </c>
      <c r="B15">
        <f>'Airfoil Interpolation'!AD17</f>
        <v>1.8814999999999998E-2</v>
      </c>
      <c r="D15">
        <f t="shared" si="4"/>
        <v>0.48559242168715933</v>
      </c>
      <c r="E15">
        <f t="shared" ca="1" si="4"/>
        <v>0.36987420700718898</v>
      </c>
      <c r="F15">
        <f t="shared" si="4"/>
        <v>0.30324068124603404</v>
      </c>
      <c r="G15">
        <f t="shared" ca="1" si="4"/>
        <v>-6.9841614830261847</v>
      </c>
      <c r="J15">
        <f t="shared" si="5"/>
        <v>0</v>
      </c>
      <c r="K15" s="1">
        <f t="shared" ca="1" si="0"/>
        <v>1.3120745731381842E-2</v>
      </c>
      <c r="L15" s="1">
        <f t="shared" ca="1" si="1"/>
        <v>1.7478553807464849E-2</v>
      </c>
      <c r="N15" s="30">
        <f t="shared" ca="1" si="2"/>
        <v>335.83194637430887</v>
      </c>
      <c r="O15" s="23">
        <f ca="1">L15*E15*1000/COS(G15*3.14/180)-J15*E15*L2*1000/COS(3.14*G2/180)</f>
        <v>6.5131461310008492</v>
      </c>
      <c r="P15" s="24">
        <f t="shared" si="3"/>
        <v>485.59242168715934</v>
      </c>
    </row>
    <row r="16" spans="1:16">
      <c r="A16">
        <f>'Airfoil Interpolation'!AC18</f>
        <v>1.2099999999999999E-3</v>
      </c>
      <c r="B16">
        <f>'Airfoil Interpolation'!AD18</f>
        <v>6.7099999999999998E-3</v>
      </c>
      <c r="D16">
        <f t="shared" si="4"/>
        <v>0.48559242168715933</v>
      </c>
      <c r="E16">
        <f t="shared" ca="1" si="4"/>
        <v>0.36987420700718898</v>
      </c>
      <c r="F16">
        <f t="shared" si="4"/>
        <v>0.30324068124603404</v>
      </c>
      <c r="G16">
        <f t="shared" ca="1" si="4"/>
        <v>-6.9841614830261847</v>
      </c>
      <c r="J16">
        <f t="shared" si="5"/>
        <v>0</v>
      </c>
      <c r="K16" s="1">
        <f t="shared" ca="1" si="0"/>
        <v>2.0165212874436239E-3</v>
      </c>
      <c r="L16" s="1">
        <f t="shared" ca="1" si="1"/>
        <v>6.5618460931775044E-3</v>
      </c>
      <c r="N16" s="30">
        <f t="shared" ca="1" si="2"/>
        <v>331.69410766800166</v>
      </c>
      <c r="O16" s="23">
        <f ca="1">L16*E16*1000/COS(G16*3.14/180)-J16*E16*L2*1000/COS(3.14*G2/180)</f>
        <v>2.4451829919560719</v>
      </c>
      <c r="P16" s="24">
        <f t="shared" si="3"/>
        <v>485.59242168715934</v>
      </c>
    </row>
    <row r="17" spans="1:16">
      <c r="A17">
        <f>'Airfoil Interpolation'!AC19</f>
        <v>7.1999999999999994E-4</v>
      </c>
      <c r="B17">
        <f>'Airfoil Interpolation'!AD19</f>
        <v>-3.2199999999999998E-3</v>
      </c>
      <c r="D17">
        <f t="shared" si="4"/>
        <v>0.48559242168715933</v>
      </c>
      <c r="E17">
        <f t="shared" ca="1" si="4"/>
        <v>0.36987420700718898</v>
      </c>
      <c r="F17">
        <f t="shared" si="4"/>
        <v>0.30324068124603404</v>
      </c>
      <c r="G17">
        <f t="shared" ca="1" si="4"/>
        <v>-6.9841614830261847</v>
      </c>
      <c r="J17">
        <f t="shared" si="5"/>
        <v>0</v>
      </c>
      <c r="K17" s="1">
        <f t="shared" ca="1" si="0"/>
        <v>3.2332458804007578E-4</v>
      </c>
      <c r="L17" s="1">
        <f t="shared" ca="1" si="1"/>
        <v>-3.3081576966216501E-3</v>
      </c>
      <c r="N17" s="30">
        <f t="shared" ca="1" si="2"/>
        <v>331.06316087153192</v>
      </c>
      <c r="O17" s="23">
        <f ca="1">L17*E17*1000/COS(G17*3.14/180)-J17*E17*L2*1000/COS(3.14*G2/180)</f>
        <v>-1.232740119110413</v>
      </c>
      <c r="P17" s="24">
        <f t="shared" si="3"/>
        <v>485.59242168715934</v>
      </c>
    </row>
    <row r="18" spans="1:16">
      <c r="A18">
        <f>'Airfoil Interpolation'!AC20</f>
        <v>9.215000000000001E-3</v>
      </c>
      <c r="B18">
        <f>'Airfoil Interpolation'!AD20</f>
        <v>-1.3765000000000001E-2</v>
      </c>
      <c r="D18">
        <f t="shared" si="4"/>
        <v>0.48559242168715933</v>
      </c>
      <c r="E18">
        <f t="shared" ca="1" si="4"/>
        <v>0.36987420700718898</v>
      </c>
      <c r="F18">
        <f t="shared" si="4"/>
        <v>0.30324068124603404</v>
      </c>
      <c r="G18">
        <f t="shared" ca="1" si="4"/>
        <v>-6.9841614830261847</v>
      </c>
      <c r="J18">
        <f t="shared" si="5"/>
        <v>0</v>
      </c>
      <c r="K18" s="1">
        <f t="shared" ca="1" si="0"/>
        <v>7.4737817317050955E-3</v>
      </c>
      <c r="L18" s="1">
        <f t="shared" ca="1" si="1"/>
        <v>-1.4893296075511809E-2</v>
      </c>
      <c r="N18" s="30">
        <f t="shared" ca="1" si="2"/>
        <v>333.72768179203615</v>
      </c>
      <c r="O18" s="23">
        <f ca="1">L18*E18*1000/COS(G18*3.14/180)-J18*E18*L2*1000/COS(3.14*G2/180)</f>
        <v>-5.549784883840994</v>
      </c>
      <c r="P18" s="24">
        <f t="shared" si="3"/>
        <v>485.59242168715934</v>
      </c>
    </row>
    <row r="19" spans="1:16">
      <c r="A19">
        <f>'Airfoil Interpolation'!AC21</f>
        <v>3.4410000000000003E-2</v>
      </c>
      <c r="B19">
        <f>'Airfoil Interpolation'!AD21</f>
        <v>-2.571E-2</v>
      </c>
      <c r="D19">
        <f t="shared" si="4"/>
        <v>0.48559242168715933</v>
      </c>
      <c r="E19">
        <f t="shared" ca="1" si="4"/>
        <v>0.36987420700718898</v>
      </c>
      <c r="F19">
        <f t="shared" si="4"/>
        <v>0.30324068124603404</v>
      </c>
      <c r="G19">
        <f t="shared" ca="1" si="4"/>
        <v>-6.9841614830261847</v>
      </c>
      <c r="J19">
        <f t="shared" si="5"/>
        <v>0</v>
      </c>
      <c r="K19" s="1">
        <f t="shared" ca="1" si="0"/>
        <v>3.10302999551186E-2</v>
      </c>
      <c r="L19" s="1">
        <f t="shared" ca="1" si="1"/>
        <v>-2.9923203251043012E-2</v>
      </c>
      <c r="N19" s="30">
        <f t="shared" ca="1" si="2"/>
        <v>342.50569896764199</v>
      </c>
      <c r="O19" s="23">
        <f ca="1">L19*E19*1000/COS(G19*3.14/180)-J19*E19*L2*1000/COS(3.14*G2/180)</f>
        <v>-11.150476042156656</v>
      </c>
      <c r="P19" s="24">
        <f t="shared" si="3"/>
        <v>485.59242168715934</v>
      </c>
    </row>
    <row r="20" spans="1:16">
      <c r="A20">
        <f>'Airfoil Interpolation'!AC22</f>
        <v>9.5469999999999999E-2</v>
      </c>
      <c r="B20">
        <f>'Airfoil Interpolation'!AD22</f>
        <v>-4.0184999999999998E-2</v>
      </c>
      <c r="D20">
        <f t="shared" ref="D20:G31" si="6">D19</f>
        <v>0.48559242168715933</v>
      </c>
      <c r="E20">
        <f t="shared" ca="1" si="6"/>
        <v>0.36987420700718898</v>
      </c>
      <c r="F20">
        <f t="shared" si="6"/>
        <v>0.30324068124603404</v>
      </c>
      <c r="G20">
        <f t="shared" ca="1" si="6"/>
        <v>-6.9841614830261847</v>
      </c>
      <c r="J20">
        <f t="shared" si="5"/>
        <v>0</v>
      </c>
      <c r="K20" s="1">
        <f t="shared" ca="1" si="0"/>
        <v>8.9878482148312053E-2</v>
      </c>
      <c r="L20" s="1">
        <f t="shared" ca="1" si="1"/>
        <v>-5.1874465689540135E-2</v>
      </c>
      <c r="N20" s="30">
        <f t="shared" ca="1" si="2"/>
        <v>364.43467629552219</v>
      </c>
      <c r="O20" s="23">
        <f ca="1">L20*E20*1000/COS(G20*3.14/180)-J20*E20*L2*1000/COS(3.14*G2/180)</f>
        <v>-19.330316410918776</v>
      </c>
      <c r="P20" s="24">
        <f t="shared" si="3"/>
        <v>485.59242168715934</v>
      </c>
    </row>
    <row r="21" spans="1:16">
      <c r="A21">
        <f>'Airfoil Interpolation'!AC23</f>
        <v>0.17686499999999999</v>
      </c>
      <c r="B21">
        <f>'Airfoil Interpolation'!AD23</f>
        <v>-4.7914999999999999E-2</v>
      </c>
      <c r="D21">
        <f t="shared" si="6"/>
        <v>0.48559242168715933</v>
      </c>
      <c r="E21">
        <f t="shared" ca="1" si="6"/>
        <v>0.36987420700718898</v>
      </c>
      <c r="F21">
        <f t="shared" si="6"/>
        <v>0.30324068124603404</v>
      </c>
      <c r="G21">
        <f t="shared" ca="1" si="6"/>
        <v>-6.9841614830261847</v>
      </c>
      <c r="J21">
        <f t="shared" si="5"/>
        <v>0</v>
      </c>
      <c r="K21" s="1">
        <f t="shared" ca="1" si="0"/>
        <v>0.16973067170172967</v>
      </c>
      <c r="L21" s="1">
        <f t="shared" ca="1" si="1"/>
        <v>-6.9570570851372332E-2</v>
      </c>
      <c r="N21" s="30">
        <f t="shared" ca="1" si="2"/>
        <v>394.19051222856518</v>
      </c>
      <c r="O21" s="23">
        <f ca="1">L21*E21*1000/COS(G21*3.14/180)-J21*E21*L2*1000/COS(3.14*G2/180)</f>
        <v>-25.924530104922837</v>
      </c>
      <c r="P21" s="24">
        <f t="shared" si="3"/>
        <v>485.59242168715934</v>
      </c>
    </row>
    <row r="22" spans="1:16">
      <c r="A22">
        <f>'Airfoil Interpolation'!AC24</f>
        <v>0.26190999999999998</v>
      </c>
      <c r="B22">
        <f>'Airfoil Interpolation'!AD24</f>
        <v>-5.0630000000000001E-2</v>
      </c>
      <c r="D22">
        <f t="shared" si="6"/>
        <v>0.48559242168715933</v>
      </c>
      <c r="E22">
        <f t="shared" ca="1" si="6"/>
        <v>0.36987420700718898</v>
      </c>
      <c r="F22">
        <f t="shared" si="6"/>
        <v>0.30324068124603404</v>
      </c>
      <c r="G22">
        <f t="shared" ca="1" si="6"/>
        <v>-6.9841614830261847</v>
      </c>
      <c r="J22">
        <f t="shared" si="5"/>
        <v>0</v>
      </c>
      <c r="K22" s="1">
        <f t="shared" ca="1" si="0"/>
        <v>0.25381529609313963</v>
      </c>
      <c r="L22" s="1">
        <f t="shared" ca="1" si="1"/>
        <v>-8.269858655857816E-2</v>
      </c>
      <c r="N22" s="30">
        <f t="shared" ca="1" si="2"/>
        <v>425.52350762762819</v>
      </c>
      <c r="O22" s="23">
        <f ca="1">L22*E22*1000/COS(G22*3.14/180)-J22*E22*L2*1000/COS(3.14*G2/180)</f>
        <v>-30.816507190268883</v>
      </c>
      <c r="P22" s="24">
        <f t="shared" si="3"/>
        <v>485.59242168715934</v>
      </c>
    </row>
    <row r="23" spans="1:16">
      <c r="A23">
        <f>'Airfoil Interpolation'!AC25</f>
        <v>0.34791999999999995</v>
      </c>
      <c r="B23">
        <f>'Airfoil Interpolation'!AD25</f>
        <v>-5.0499999999999996E-2</v>
      </c>
      <c r="D23">
        <f t="shared" si="6"/>
        <v>0.48559242168715933</v>
      </c>
      <c r="E23">
        <f t="shared" ca="1" si="6"/>
        <v>0.36987420700718898</v>
      </c>
      <c r="F23">
        <f t="shared" si="6"/>
        <v>0.30324068124603404</v>
      </c>
      <c r="G23">
        <f t="shared" ca="1" si="6"/>
        <v>-6.9841614830261847</v>
      </c>
      <c r="J23">
        <f t="shared" si="5"/>
        <v>0</v>
      </c>
      <c r="K23" s="1">
        <f t="shared" ca="1" si="0"/>
        <v>0.33920353041188445</v>
      </c>
      <c r="L23" s="1">
        <f t="shared" ca="1" si="1"/>
        <v>-9.3099758067506047E-2</v>
      </c>
      <c r="N23" s="30">
        <f t="shared" ca="1" si="2"/>
        <v>457.34227559392326</v>
      </c>
      <c r="O23" s="23">
        <f ca="1">L23*E23*1000/COS(G23*3.14/180)-J23*E23*L2*1000/COS(3.14*G2/180)</f>
        <v>-34.692362751174457</v>
      </c>
      <c r="P23" s="24">
        <f t="shared" si="3"/>
        <v>485.59242168715934</v>
      </c>
    </row>
    <row r="24" spans="1:16">
      <c r="A24">
        <f>'Airfoil Interpolation'!AC26</f>
        <v>0.43439</v>
      </c>
      <c r="B24">
        <f>'Airfoil Interpolation'!AD26</f>
        <v>-4.8039999999999999E-2</v>
      </c>
      <c r="D24">
        <f t="shared" si="6"/>
        <v>0.48559242168715933</v>
      </c>
      <c r="E24">
        <f t="shared" ca="1" si="6"/>
        <v>0.36987420700718898</v>
      </c>
      <c r="F24">
        <f t="shared" si="6"/>
        <v>0.30324068124603404</v>
      </c>
      <c r="G24">
        <f t="shared" ca="1" si="6"/>
        <v>-6.9841614830261847</v>
      </c>
      <c r="J24">
        <f t="shared" si="5"/>
        <v>0</v>
      </c>
      <c r="K24" s="1">
        <f t="shared" ca="1" si="0"/>
        <v>0.42533152824612763</v>
      </c>
      <c r="L24" s="1">
        <f t="shared" ca="1" si="1"/>
        <v>-0.10122725254927556</v>
      </c>
      <c r="N24" s="30">
        <f t="shared" ca="1" si="2"/>
        <v>489.43670640577739</v>
      </c>
      <c r="O24" s="23">
        <f ca="1">L24*E24*1000/COS(G24*3.14/180)-J24*E24*L2*1000/COS(3.14*G2/180)</f>
        <v>-37.720963390665574</v>
      </c>
      <c r="P24" s="24">
        <f t="shared" si="3"/>
        <v>485.59242168715934</v>
      </c>
    </row>
    <row r="25" spans="1:16">
      <c r="A25">
        <f>'Airfoil Interpolation'!AC27</f>
        <v>0.52126499999999998</v>
      </c>
      <c r="B25">
        <f>'Airfoil Interpolation'!AD27</f>
        <v>-4.3784999999999998E-2</v>
      </c>
      <c r="D25">
        <f t="shared" si="6"/>
        <v>0.48559242168715933</v>
      </c>
      <c r="E25">
        <f t="shared" ca="1" si="6"/>
        <v>0.36987420700718898</v>
      </c>
      <c r="F25">
        <f t="shared" si="6"/>
        <v>0.30324068124603404</v>
      </c>
      <c r="G25">
        <f t="shared" ca="1" si="6"/>
        <v>-6.9841614830261847</v>
      </c>
      <c r="J25">
        <f t="shared" si="5"/>
        <v>0</v>
      </c>
      <c r="K25" s="1">
        <f t="shared" ca="1" si="0"/>
        <v>0.51207967680316124</v>
      </c>
      <c r="L25" s="1">
        <f t="shared" ca="1" si="1"/>
        <v>-0.10760933573539476</v>
      </c>
      <c r="N25" s="30">
        <f t="shared" ca="1" si="2"/>
        <v>521.76222797750063</v>
      </c>
      <c r="O25" s="23">
        <f ca="1">L25*E25*1000/COS(G25*3.14/180)-J25*E25*L2*1000/COS(3.14*G2/180)</f>
        <v>-40.099160172234818</v>
      </c>
      <c r="P25" s="24">
        <f t="shared" si="3"/>
        <v>485.59242168715934</v>
      </c>
    </row>
    <row r="26" spans="1:16">
      <c r="A26">
        <f>'Airfoil Interpolation'!AC28</f>
        <v>0.60826999999999998</v>
      </c>
      <c r="B26">
        <f>'Airfoil Interpolation'!AD28</f>
        <v>-3.8155000000000001E-2</v>
      </c>
      <c r="D26">
        <f t="shared" si="6"/>
        <v>0.48559242168715933</v>
      </c>
      <c r="E26">
        <f t="shared" ca="1" si="6"/>
        <v>0.36987420700718898</v>
      </c>
      <c r="F26">
        <f t="shared" si="6"/>
        <v>0.30324068124603404</v>
      </c>
      <c r="G26">
        <f t="shared" ca="1" si="6"/>
        <v>-6.9841614830261847</v>
      </c>
      <c r="J26">
        <f t="shared" si="5"/>
        <v>0</v>
      </c>
      <c r="K26" s="1">
        <f t="shared" ca="1" si="0"/>
        <v>0.59912397044811216</v>
      </c>
      <c r="L26" s="1">
        <f t="shared" ca="1" si="1"/>
        <v>-0.11263233628340398</v>
      </c>
      <c r="N26" s="30">
        <f t="shared" ca="1" si="2"/>
        <v>554.19810400159054</v>
      </c>
      <c r="O26" s="23">
        <f ca="1">L26*E26*1000/COS(G26*3.14/180)-J26*E26*L2*1000/COS(3.14*G2/180)</f>
        <v>-41.970913232909041</v>
      </c>
      <c r="P26" s="24">
        <f t="shared" si="3"/>
        <v>485.59242168715934</v>
      </c>
    </row>
    <row r="27" spans="1:16">
      <c r="A27">
        <f>'Airfoil Interpolation'!AC29</f>
        <v>0.69527500000000009</v>
      </c>
      <c r="B27">
        <f>'Airfoil Interpolation'!AD29</f>
        <v>-3.1315000000000003E-2</v>
      </c>
      <c r="D27">
        <f t="shared" si="6"/>
        <v>0.48559242168715933</v>
      </c>
      <c r="E27">
        <f t="shared" ca="1" si="6"/>
        <v>0.36987420700718898</v>
      </c>
      <c r="F27">
        <f t="shared" si="6"/>
        <v>0.30324068124603404</v>
      </c>
      <c r="G27">
        <f t="shared" ca="1" si="6"/>
        <v>-6.9841614830261847</v>
      </c>
      <c r="J27">
        <f t="shared" si="5"/>
        <v>0</v>
      </c>
      <c r="K27" s="1">
        <f t="shared" ca="1" si="0"/>
        <v>0.68631531978161542</v>
      </c>
      <c r="L27" s="1">
        <f t="shared" ca="1" si="1"/>
        <v>-0.1164453368314132</v>
      </c>
      <c r="N27" s="30">
        <f t="shared" ca="1" si="2"/>
        <v>586.68877833448141</v>
      </c>
      <c r="O27" s="23">
        <f ca="1">L27*E27*1000/COS(G27*3.14/180)-J27*E27*L2*1000/COS(3.14*G2/180)</f>
        <v>-43.391776196763857</v>
      </c>
      <c r="P27" s="24">
        <f t="shared" si="3"/>
        <v>485.59242168715934</v>
      </c>
    </row>
    <row r="28" spans="1:16">
      <c r="A28">
        <f>'Airfoil Interpolation'!AC30</f>
        <v>0.78222500000000006</v>
      </c>
      <c r="B28">
        <f>'Airfoil Interpolation'!AD30</f>
        <v>-2.3564999999999999E-2</v>
      </c>
      <c r="D28">
        <f t="shared" si="6"/>
        <v>0.48559242168715933</v>
      </c>
      <c r="E28">
        <f t="shared" ca="1" si="6"/>
        <v>0.36987420700718898</v>
      </c>
      <c r="F28">
        <f t="shared" si="6"/>
        <v>0.30324068124603404</v>
      </c>
      <c r="G28">
        <f t="shared" ca="1" si="6"/>
        <v>-6.9841614830261847</v>
      </c>
      <c r="J28">
        <f t="shared" si="5"/>
        <v>0</v>
      </c>
      <c r="K28" s="1">
        <f t="shared" ca="1" si="0"/>
        <v>0.77356267241328525</v>
      </c>
      <c r="L28" s="1">
        <f t="shared" ca="1" si="1"/>
        <v>-0.11934160311093046</v>
      </c>
      <c r="N28" s="30">
        <f t="shared" ca="1" si="2"/>
        <v>619.20032153723389</v>
      </c>
      <c r="O28" s="23">
        <f ca="1">L28*E28*1000/COS(G28*3.14/180)-J28*E28*L2*1000/COS(3.14*G2/180)</f>
        <v>-44.471030563033537</v>
      </c>
      <c r="P28" s="24">
        <f t="shared" si="3"/>
        <v>485.59242168715934</v>
      </c>
    </row>
    <row r="29" spans="1:16">
      <c r="A29">
        <f>'Airfoil Interpolation'!AC31</f>
        <v>0.86909499999999995</v>
      </c>
      <c r="B29">
        <f>'Airfoil Interpolation'!AD31</f>
        <v>-1.4840000000000001E-2</v>
      </c>
      <c r="D29">
        <f t="shared" si="6"/>
        <v>0.48559242168715933</v>
      </c>
      <c r="E29">
        <f t="shared" ca="1" si="6"/>
        <v>0.36987420700718898</v>
      </c>
      <c r="F29">
        <f t="shared" si="6"/>
        <v>0.30324068124603404</v>
      </c>
      <c r="G29">
        <f t="shared" ca="1" si="6"/>
        <v>-6.9841614830261847</v>
      </c>
      <c r="J29">
        <f t="shared" si="5"/>
        <v>0</v>
      </c>
      <c r="K29" s="1">
        <f t="shared" ca="1" si="0"/>
        <v>0.86084911334600001</v>
      </c>
      <c r="L29" s="1">
        <f t="shared" ca="1" si="1"/>
        <v>-0.12125307409082312</v>
      </c>
      <c r="N29" s="30">
        <f t="shared" ca="1" si="2"/>
        <v>651.72643046547614</v>
      </c>
      <c r="O29" s="23">
        <f ca="1">L29*E29*1000/COS(G29*3.14/180)-J29*E29*L2*1000/COS(3.14*G2/180)</f>
        <v>-45.183314311125514</v>
      </c>
      <c r="P29" s="24">
        <f t="shared" si="3"/>
        <v>485.59242168715934</v>
      </c>
    </row>
    <row r="30" spans="1:16">
      <c r="A30">
        <f>'Airfoil Interpolation'!AC32</f>
        <v>0.95473000000000008</v>
      </c>
      <c r="B30">
        <f>'Airfoil Interpolation'!AD32</f>
        <v>-5.5100000000000001E-3</v>
      </c>
      <c r="D30">
        <f t="shared" si="6"/>
        <v>0.48559242168715933</v>
      </c>
      <c r="E30">
        <f t="shared" ca="1" si="6"/>
        <v>0.36987420700718898</v>
      </c>
      <c r="F30">
        <f t="shared" si="6"/>
        <v>0.30324068124603404</v>
      </c>
      <c r="G30">
        <f t="shared" ca="1" si="6"/>
        <v>-6.9841614830261847</v>
      </c>
      <c r="J30">
        <f t="shared" si="5"/>
        <v>0</v>
      </c>
      <c r="K30" s="1">
        <f t="shared" ca="1" si="0"/>
        <v>0.94698323678919449</v>
      </c>
      <c r="L30" s="1">
        <f t="shared" ca="1" si="1"/>
        <v>-0.1224083301327606</v>
      </c>
      <c r="N30" s="30">
        <f t="shared" ca="1" si="2"/>
        <v>683.82314390246506</v>
      </c>
      <c r="O30" s="23">
        <f ca="1">L30*E30*1000/COS(G30*3.14/180)-J30*E30*L2*1000/COS(3.14*G2/180)</f>
        <v>-45.613804814101044</v>
      </c>
      <c r="P30" s="24">
        <f t="shared" si="3"/>
        <v>485.59242168715934</v>
      </c>
    </row>
    <row r="31" spans="1:16" ht="15" thickBot="1">
      <c r="A31">
        <f>'Airfoil Interpolation'!AC33</f>
        <v>1</v>
      </c>
      <c r="B31">
        <f>'Airfoil Interpolation'!AD33</f>
        <v>-4.5500000000000011E-4</v>
      </c>
      <c r="D31">
        <f t="shared" si="6"/>
        <v>0.48559242168715933</v>
      </c>
      <c r="E31">
        <f t="shared" ca="1" si="6"/>
        <v>0.36987420700718898</v>
      </c>
      <c r="F31">
        <f t="shared" si="6"/>
        <v>0.30324068124603404</v>
      </c>
      <c r="G31">
        <f t="shared" ca="1" si="6"/>
        <v>-6.9841614830261847</v>
      </c>
      <c r="J31">
        <f t="shared" si="5"/>
        <v>0</v>
      </c>
      <c r="K31" s="1">
        <f t="shared" ca="1" si="0"/>
        <v>0.99253201701486771</v>
      </c>
      <c r="L31" s="1">
        <f t="shared" ca="1" si="1"/>
        <v>-0.12289624530784682</v>
      </c>
      <c r="N31" s="31">
        <f t="shared" ca="1" si="2"/>
        <v>700.79627937846476</v>
      </c>
      <c r="O31" s="32">
        <f ca="1">L31*E31*1000/COS(G31*3.14/180)-J31*E31*L2*1000/COS(3.14*G2/180)</f>
        <v>-45.795619789749217</v>
      </c>
      <c r="P31" s="33">
        <f t="shared" si="3"/>
        <v>485.59242168715934</v>
      </c>
    </row>
  </sheetData>
  <pageMargins left="0.7" right="0.7" top="0.75" bottom="0.75" header="0.3" footer="0.3"/>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opLeftCell="A23" workbookViewId="0">
      <selection activeCell="W30" sqref="W30"/>
    </sheetView>
  </sheetViews>
  <sheetFormatPr baseColWidth="10" defaultColWidth="8.83203125" defaultRowHeight="14" x14ac:dyDescent="0"/>
  <sheetData>
    <row r="1" spans="1:16" ht="15" thickBot="1">
      <c r="A1">
        <v>8</v>
      </c>
      <c r="D1" t="s">
        <v>0</v>
      </c>
      <c r="E1" t="s">
        <v>1</v>
      </c>
      <c r="F1" t="s">
        <v>2</v>
      </c>
      <c r="G1" t="s">
        <v>5</v>
      </c>
      <c r="J1" t="s">
        <v>10</v>
      </c>
      <c r="K1" t="s">
        <v>9</v>
      </c>
      <c r="N1" s="6" t="s">
        <v>6</v>
      </c>
      <c r="O1" s="6" t="s">
        <v>7</v>
      </c>
      <c r="P1" s="6" t="s">
        <v>8</v>
      </c>
    </row>
    <row r="2" spans="1:16">
      <c r="A2">
        <f>'Airfoil Interpolation'!AG4</f>
        <v>1</v>
      </c>
      <c r="B2">
        <f>'Airfoil Interpolation'!AH4</f>
        <v>6.7083333333333318E-4</v>
      </c>
      <c r="D2" s="4">
        <f>'Loft Viewer'!I5</f>
        <v>0.56652449196835253</v>
      </c>
      <c r="E2" s="4">
        <f ca="1">'Loft Viewer'!I6</f>
        <v>0.33046138167035732</v>
      </c>
      <c r="F2" s="4">
        <f>'Loft Viewer'!I7</f>
        <v>0.35378079478703972</v>
      </c>
      <c r="G2" s="4">
        <f ca="1">-'Loft Viewer'!I8</f>
        <v>-6.0160156517542562</v>
      </c>
      <c r="J2">
        <f>'Loft Viewer'!B2</f>
        <v>0</v>
      </c>
      <c r="K2" s="1">
        <f ca="1">((A2)*COS(3.14*G2/180)-B2*SIN(3.14*G2/180))</f>
        <v>0.99456848771343143</v>
      </c>
      <c r="L2" s="1">
        <f ca="1">((A2)*SIN(3.14*G2/180)+B2*COS(3.14*G2/180))/COS(3.14*G2/180)</f>
        <v>-0.10466220293843934</v>
      </c>
      <c r="N2" s="27">
        <f ca="1">K2*E2*1000/COS(G2*3.14/180)+F2*1000</f>
        <v>716.5845237776274</v>
      </c>
      <c r="O2" s="28">
        <f ca="1">L2*E2*1000/COS(G2*3.14/180)-J2*E2*L2*1000/COS(3.14*G2/180)</f>
        <v>-34.778158120806864</v>
      </c>
      <c r="P2" s="29">
        <f>D2*1000</f>
        <v>566.52449196835255</v>
      </c>
    </row>
    <row r="3" spans="1:16">
      <c r="A3">
        <f>'Airfoil Interpolation'!AG5</f>
        <v>0.95530916666666665</v>
      </c>
      <c r="B3">
        <f>'Airfoil Interpolation'!AH5</f>
        <v>5.7266666666666672E-3</v>
      </c>
      <c r="D3">
        <f>D2</f>
        <v>0.56652449196835253</v>
      </c>
      <c r="E3">
        <f ca="1">E2</f>
        <v>0.33046138167035732</v>
      </c>
      <c r="F3">
        <f>F2</f>
        <v>0.35378079478703972</v>
      </c>
      <c r="G3">
        <f ca="1">G2</f>
        <v>-6.0160156517542562</v>
      </c>
      <c r="J3">
        <f>J2</f>
        <v>0</v>
      </c>
      <c r="K3" s="1">
        <f t="shared" ref="K3:K31" ca="1" si="0">((A3)*COS(3.14*G3/180)-B3*SIN(3.14*G3/180))</f>
        <v>0.9506531500324924</v>
      </c>
      <c r="L3" s="1">
        <f t="shared" ref="L3:L31" ca="1" si="1">((A3)*SIN(3.14*G3/180)+B3*COS(3.14*G3/180))/COS(3.14*G3/180)</f>
        <v>-9.4898948436590247E-2</v>
      </c>
      <c r="N3" s="30">
        <f t="shared" ref="N3:N31" ca="1" si="2">K3*E3*1000/COS(G3*3.14/180)+F3*1000</f>
        <v>701.99191522442641</v>
      </c>
      <c r="O3" s="23">
        <f ca="1">L3*E3*1000/COS(G3*3.14/180)-J3*E3*L2*1000/COS(3.14*G2/180)</f>
        <v>-31.533930507532723</v>
      </c>
      <c r="P3" s="24">
        <f t="shared" ref="P3:P31" si="3">D3*1000</f>
        <v>566.52449196835255</v>
      </c>
    </row>
    <row r="4" spans="1:16">
      <c r="A4">
        <f>'Airfoil Interpolation'!AG6</f>
        <v>0.86971749999999992</v>
      </c>
      <c r="B4">
        <f>'Airfoil Interpolation'!AH6</f>
        <v>1.5458333333333334E-2</v>
      </c>
      <c r="D4">
        <f t="shared" ref="D4:G19" si="4">D3</f>
        <v>0.56652449196835253</v>
      </c>
      <c r="E4">
        <f t="shared" ca="1" si="4"/>
        <v>0.33046138167035732</v>
      </c>
      <c r="F4">
        <f t="shared" si="4"/>
        <v>0.35378079478703972</v>
      </c>
      <c r="G4">
        <f t="shared" ca="1" si="4"/>
        <v>-6.0160156517542562</v>
      </c>
      <c r="J4">
        <f t="shared" ref="J4:J31" si="5">J3</f>
        <v>0</v>
      </c>
      <c r="K4" s="1">
        <f t="shared" ca="1" si="0"/>
        <v>0.86655181657128444</v>
      </c>
      <c r="L4" s="1">
        <f t="shared" ca="1" si="1"/>
        <v>-7.6151651640362111E-2</v>
      </c>
      <c r="N4" s="30">
        <f t="shared" ca="1" si="2"/>
        <v>674.04591952428837</v>
      </c>
      <c r="O4" s="23">
        <f ca="1">L4*E4*1000/COS(G4*3.14/180)-J4*E4*L2*1000/COS(3.14*G2/180)</f>
        <v>-25.30439936819284</v>
      </c>
      <c r="P4" s="24">
        <f t="shared" si="3"/>
        <v>566.52449196835255</v>
      </c>
    </row>
    <row r="5" spans="1:16">
      <c r="A5">
        <f>'Airfoil Interpolation'!AG7</f>
        <v>0.7829666666666667</v>
      </c>
      <c r="B5">
        <f>'Airfoil Interpolation'!AH7</f>
        <v>2.5529166666666665E-2</v>
      </c>
      <c r="D5">
        <f t="shared" si="4"/>
        <v>0.56652449196835253</v>
      </c>
      <c r="E5">
        <f t="shared" ca="1" si="4"/>
        <v>0.33046138167035732</v>
      </c>
      <c r="F5">
        <f t="shared" si="4"/>
        <v>0.35378079478703972</v>
      </c>
      <c r="G5">
        <f t="shared" ca="1" si="4"/>
        <v>-6.0160156517542562</v>
      </c>
      <c r="J5">
        <f t="shared" si="5"/>
        <v>0</v>
      </c>
      <c r="K5" s="1">
        <f t="shared" ca="1" si="0"/>
        <v>0.78133322282958784</v>
      </c>
      <c r="L5" s="1">
        <f t="shared" ca="1" si="1"/>
        <v>-5.6943089632922279E-2</v>
      </c>
      <c r="N5" s="30">
        <f t="shared" ca="1" si="2"/>
        <v>645.7286698890523</v>
      </c>
      <c r="O5" s="23">
        <f ca="1">L5*E5*1000/COS(G5*3.14/180)-J5*E5*L2*1000/COS(3.14*G2/180)</f>
        <v>-18.921594611436522</v>
      </c>
      <c r="P5" s="24">
        <f t="shared" si="3"/>
        <v>566.52449196835255</v>
      </c>
    </row>
    <row r="6" spans="1:16">
      <c r="A6">
        <f>'Airfoil Interpolation'!AG8</f>
        <v>0.69618416666666671</v>
      </c>
      <c r="B6">
        <f>'Airfoil Interpolation'!AH8</f>
        <v>3.5770833333333328E-2</v>
      </c>
      <c r="D6">
        <f t="shared" si="4"/>
        <v>0.56652449196835253</v>
      </c>
      <c r="E6">
        <f t="shared" ca="1" si="4"/>
        <v>0.33046138167035732</v>
      </c>
      <c r="F6">
        <f t="shared" si="4"/>
        <v>0.35378079478703972</v>
      </c>
      <c r="G6">
        <f t="shared" ca="1" si="4"/>
        <v>-6.0160156517542562</v>
      </c>
      <c r="J6">
        <f t="shared" si="5"/>
        <v>0</v>
      </c>
      <c r="K6" s="1">
        <f t="shared" ca="1" si="0"/>
        <v>0.6961010320368195</v>
      </c>
      <c r="L6" s="1">
        <f t="shared" ca="1" si="1"/>
        <v>-3.75603587460005E-2</v>
      </c>
      <c r="N6" s="30">
        <f t="shared" ca="1" si="2"/>
        <v>617.40690209559989</v>
      </c>
      <c r="O6" s="23">
        <f ca="1">L6*E6*1000/COS(G6*3.14/180)-J6*E6*L2*1000/COS(3.14*G2/180)</f>
        <v>-12.480915353090456</v>
      </c>
      <c r="P6" s="24">
        <f t="shared" si="3"/>
        <v>566.52449196835255</v>
      </c>
    </row>
    <row r="7" spans="1:16">
      <c r="A7">
        <f>'Airfoil Interpolation'!AG9</f>
        <v>0.60949416666666667</v>
      </c>
      <c r="B7">
        <f>'Airfoil Interpolation'!AH9</f>
        <v>4.6178333333333335E-2</v>
      </c>
      <c r="D7">
        <f t="shared" si="4"/>
        <v>0.56652449196835253</v>
      </c>
      <c r="E7">
        <f t="shared" ca="1" si="4"/>
        <v>0.33046138167035732</v>
      </c>
      <c r="F7">
        <f t="shared" si="4"/>
        <v>0.35378079478703972</v>
      </c>
      <c r="G7">
        <f t="shared" ca="1" si="4"/>
        <v>-6.0160156517542562</v>
      </c>
      <c r="J7">
        <f t="shared" si="5"/>
        <v>0</v>
      </c>
      <c r="K7" s="1">
        <f t="shared" ca="1" si="0"/>
        <v>0.61097820395382885</v>
      </c>
      <c r="L7" s="1">
        <f t="shared" ca="1" si="1"/>
        <v>-1.8021537831600522E-2</v>
      </c>
      <c r="N7" s="30">
        <f t="shared" ca="1" si="2"/>
        <v>589.12147438965167</v>
      </c>
      <c r="O7" s="23">
        <f ca="1">L7*E7*1000/COS(G7*3.14/180)-J7*E7*L2*1000/COS(3.14*G2/180)</f>
        <v>-5.9883690070631683</v>
      </c>
      <c r="P7" s="24">
        <f t="shared" si="3"/>
        <v>566.52449196835255</v>
      </c>
    </row>
    <row r="8" spans="1:16">
      <c r="A8">
        <f>'Airfoil Interpolation'!AG10</f>
        <v>0.52294416666666677</v>
      </c>
      <c r="B8">
        <f>'Airfoil Interpolation'!AH10</f>
        <v>5.6036666666666672E-2</v>
      </c>
      <c r="D8">
        <f t="shared" si="4"/>
        <v>0.56652449196835253</v>
      </c>
      <c r="E8">
        <f t="shared" ca="1" si="4"/>
        <v>0.33046138167035732</v>
      </c>
      <c r="F8">
        <f t="shared" si="4"/>
        <v>0.35378079478703972</v>
      </c>
      <c r="G8">
        <f t="shared" ca="1" si="4"/>
        <v>-6.0160156517542562</v>
      </c>
      <c r="J8">
        <f t="shared" si="5"/>
        <v>0</v>
      </c>
      <c r="K8" s="1">
        <f t="shared" ca="1" si="0"/>
        <v>0.52593707848147753</v>
      </c>
      <c r="L8" s="1">
        <f t="shared" ca="1" si="1"/>
        <v>9.5336979105473585E-4</v>
      </c>
      <c r="N8" s="30">
        <f t="shared" ca="1" si="2"/>
        <v>560.86319560883521</v>
      </c>
      <c r="O8" s="23">
        <f ca="1">L8*E8*1000/COS(G8*3.14/180)-J8*E8*L2*1000/COS(3.14*G2/180)</f>
        <v>0.31679483528933844</v>
      </c>
      <c r="P8" s="24">
        <f t="shared" si="3"/>
        <v>566.52449196835255</v>
      </c>
    </row>
    <row r="9" spans="1:16">
      <c r="A9">
        <f>'Airfoil Interpolation'!AG11</f>
        <v>0.43669750000000002</v>
      </c>
      <c r="B9">
        <f>'Airfoil Interpolation'!AH11</f>
        <v>6.3894999999999993E-2</v>
      </c>
      <c r="D9">
        <f t="shared" si="4"/>
        <v>0.56652449196835253</v>
      </c>
      <c r="E9">
        <f t="shared" ca="1" si="4"/>
        <v>0.33046138167035732</v>
      </c>
      <c r="F9">
        <f t="shared" si="4"/>
        <v>0.35378079478703972</v>
      </c>
      <c r="G9">
        <f t="shared" ca="1" si="4"/>
        <v>-6.0160156517542562</v>
      </c>
      <c r="J9">
        <f t="shared" si="5"/>
        <v>0</v>
      </c>
      <c r="K9" s="1">
        <f t="shared" ca="1" si="0"/>
        <v>0.44098811043462277</v>
      </c>
      <c r="L9" s="1">
        <f t="shared" ca="1" si="1"/>
        <v>1.7896326392707541E-2</v>
      </c>
      <c r="N9" s="30">
        <f t="shared" ca="1" si="2"/>
        <v>532.63553977905485</v>
      </c>
      <c r="O9" s="23">
        <f ca="1">L9*E9*1000/COS(G9*3.14/180)-J9*E9*L2*1000/COS(3.14*G2/180)</f>
        <v>5.9467625522199139</v>
      </c>
      <c r="P9" s="24">
        <f t="shared" si="3"/>
        <v>566.52449196835255</v>
      </c>
    </row>
    <row r="10" spans="1:16">
      <c r="A10">
        <f>'Airfoil Interpolation'!AG12</f>
        <v>0.35069583333333332</v>
      </c>
      <c r="B10">
        <f>'Airfoil Interpolation'!AH12</f>
        <v>6.8949999999999997E-2</v>
      </c>
      <c r="D10">
        <f t="shared" si="4"/>
        <v>0.56652449196835253</v>
      </c>
      <c r="E10">
        <f t="shared" ca="1" si="4"/>
        <v>0.33046138167035732</v>
      </c>
      <c r="F10">
        <f t="shared" si="4"/>
        <v>0.35378079478703972</v>
      </c>
      <c r="G10">
        <f t="shared" ca="1" si="4"/>
        <v>-6.0160156517542562</v>
      </c>
      <c r="J10">
        <f t="shared" si="5"/>
        <v>0</v>
      </c>
      <c r="K10" s="1">
        <f t="shared" ca="1" si="0"/>
        <v>0.35598913542567834</v>
      </c>
      <c r="L10" s="1">
        <f t="shared" ca="1" si="1"/>
        <v>3.2010143067140451E-2</v>
      </c>
      <c r="N10" s="30">
        <f t="shared" ca="1" si="2"/>
        <v>504.39126715748284</v>
      </c>
      <c r="O10" s="23">
        <f ca="1">L10*E10*1000/COS(G10*3.14/180)-J10*E10*L2*1000/COS(3.14*G2/180)</f>
        <v>10.636636587072973</v>
      </c>
      <c r="P10" s="24">
        <f t="shared" si="3"/>
        <v>566.52449196835255</v>
      </c>
    </row>
    <row r="11" spans="1:16">
      <c r="A11">
        <f>'Airfoil Interpolation'!AG13</f>
        <v>0.26545666666666667</v>
      </c>
      <c r="B11">
        <f>'Airfoil Interpolation'!AH13</f>
        <v>6.9725833333333334E-2</v>
      </c>
      <c r="D11">
        <f t="shared" si="4"/>
        <v>0.56652449196835253</v>
      </c>
      <c r="E11">
        <f t="shared" ca="1" si="4"/>
        <v>0.33046138167035732</v>
      </c>
      <c r="F11">
        <f t="shared" si="4"/>
        <v>0.35378079478703972</v>
      </c>
      <c r="G11">
        <f t="shared" ca="1" si="4"/>
        <v>-6.0160156517542562</v>
      </c>
      <c r="J11">
        <f t="shared" si="5"/>
        <v>0</v>
      </c>
      <c r="K11" s="1">
        <f t="shared" ca="1" si="0"/>
        <v>0.27130020754959799</v>
      </c>
      <c r="L11" s="1">
        <f t="shared" ca="1" si="1"/>
        <v>4.1764476634749463E-2</v>
      </c>
      <c r="N11" s="30">
        <f t="shared" ca="1" si="2"/>
        <v>476.25001996351421</v>
      </c>
      <c r="O11" s="23">
        <f ca="1">L11*E11*1000/COS(G11*3.14/180)-J11*E11*L2*1000/COS(3.14*G2/180)</f>
        <v>13.877899866969104</v>
      </c>
      <c r="P11" s="24">
        <f t="shared" si="3"/>
        <v>566.52449196835255</v>
      </c>
    </row>
    <row r="12" spans="1:16">
      <c r="A12">
        <f>'Airfoil Interpolation'!AG14</f>
        <v>0.18129166666666666</v>
      </c>
      <c r="B12">
        <f>'Airfoil Interpolation'!AH14</f>
        <v>6.5559999999999993E-2</v>
      </c>
      <c r="D12">
        <f t="shared" si="4"/>
        <v>0.56652449196835253</v>
      </c>
      <c r="E12">
        <f t="shared" ca="1" si="4"/>
        <v>0.33046138167035732</v>
      </c>
      <c r="F12">
        <f t="shared" si="4"/>
        <v>0.35378079478703972</v>
      </c>
      <c r="G12">
        <f t="shared" ca="1" si="4"/>
        <v>-6.0160156517542562</v>
      </c>
      <c r="J12">
        <f t="shared" si="5"/>
        <v>0</v>
      </c>
      <c r="K12" s="1">
        <f t="shared" ca="1" si="0"/>
        <v>0.18716187954547647</v>
      </c>
      <c r="L12" s="1">
        <f t="shared" ca="1" si="1"/>
        <v>4.6463998299229876E-2</v>
      </c>
      <c r="N12" s="30">
        <f t="shared" ca="1" si="2"/>
        <v>448.29173136272118</v>
      </c>
      <c r="O12" s="23">
        <f ca="1">L12*E12*1000/COS(G12*3.14/180)-J12*E12*L2*1000/COS(3.14*G2/180)</f>
        <v>15.439501887094655</v>
      </c>
      <c r="P12" s="24">
        <f t="shared" si="3"/>
        <v>566.52449196835255</v>
      </c>
    </row>
    <row r="13" spans="1:16">
      <c r="A13">
        <f>'Airfoil Interpolation'!AG15</f>
        <v>0.10133333333333333</v>
      </c>
      <c r="B13">
        <f>'Airfoil Interpolation'!AH15</f>
        <v>5.3810833333333336E-2</v>
      </c>
      <c r="D13">
        <f t="shared" si="4"/>
        <v>0.56652449196835253</v>
      </c>
      <c r="E13">
        <f t="shared" ca="1" si="4"/>
        <v>0.33046138167035732</v>
      </c>
      <c r="F13">
        <f t="shared" si="4"/>
        <v>0.35378079478703972</v>
      </c>
      <c r="G13">
        <f t="shared" ca="1" si="4"/>
        <v>-6.0160156517542562</v>
      </c>
      <c r="J13">
        <f t="shared" si="5"/>
        <v>0</v>
      </c>
      <c r="K13" s="1">
        <f t="shared" ca="1" si="0"/>
        <v>0.10641269320051386</v>
      </c>
      <c r="L13" s="1">
        <f t="shared" ca="1" si="1"/>
        <v>4.3137085657793693E-2</v>
      </c>
      <c r="N13" s="30">
        <f t="shared" ca="1" si="2"/>
        <v>421.45961917716545</v>
      </c>
      <c r="O13" s="23">
        <f ca="1">L13*E13*1000/COS(G13*3.14/180)-J13*E13*L2*1000/COS(3.14*G2/180)</f>
        <v>14.334003525226294</v>
      </c>
      <c r="P13" s="24">
        <f t="shared" si="3"/>
        <v>566.52449196835255</v>
      </c>
    </row>
    <row r="14" spans="1:16">
      <c r="A14">
        <f>'Airfoil Interpolation'!AG16</f>
        <v>3.8652499999999999E-2</v>
      </c>
      <c r="B14">
        <f>'Airfoil Interpolation'!AH16</f>
        <v>3.4954166666666668E-2</v>
      </c>
      <c r="D14">
        <f t="shared" si="4"/>
        <v>0.56652449196835253</v>
      </c>
      <c r="E14">
        <f t="shared" ca="1" si="4"/>
        <v>0.33046138167035732</v>
      </c>
      <c r="F14">
        <f t="shared" si="4"/>
        <v>0.35378079478703972</v>
      </c>
      <c r="G14">
        <f t="shared" ca="1" si="4"/>
        <v>-6.0160156517542562</v>
      </c>
      <c r="J14">
        <f t="shared" si="5"/>
        <v>0</v>
      </c>
      <c r="K14" s="1">
        <f t="shared" ca="1" si="0"/>
        <v>4.2101414155615483E-2</v>
      </c>
      <c r="L14" s="1">
        <f t="shared" ca="1" si="1"/>
        <v>3.0882781482171967E-2</v>
      </c>
      <c r="N14" s="30">
        <f t="shared" ca="1" si="2"/>
        <v>400.0896520946805</v>
      </c>
      <c r="O14" s="23">
        <f ca="1">L14*E14*1000/COS(G14*3.14/180)-J14*E14*L2*1000/COS(3.14*G2/180)</f>
        <v>10.262026093880712</v>
      </c>
      <c r="P14" s="24">
        <f t="shared" si="3"/>
        <v>566.52449196835255</v>
      </c>
    </row>
    <row r="15" spans="1:16">
      <c r="A15">
        <f>'Airfoil Interpolation'!AG17</f>
        <v>1.0890833333333334E-2</v>
      </c>
      <c r="B15">
        <f>'Airfoil Interpolation'!AH17</f>
        <v>1.8130833333333332E-2</v>
      </c>
      <c r="D15">
        <f t="shared" si="4"/>
        <v>0.56652449196835253</v>
      </c>
      <c r="E15">
        <f t="shared" ca="1" si="4"/>
        <v>0.33046138167035732</v>
      </c>
      <c r="F15">
        <f t="shared" si="4"/>
        <v>0.35378079478703972</v>
      </c>
      <c r="G15">
        <f t="shared" ca="1" si="4"/>
        <v>-6.0160156517542562</v>
      </c>
      <c r="J15">
        <f t="shared" si="5"/>
        <v>0</v>
      </c>
      <c r="K15" s="1">
        <f t="shared" ca="1" si="0"/>
        <v>1.2730182866764996E-2</v>
      </c>
      <c r="L15" s="1">
        <f t="shared" ca="1" si="1"/>
        <v>1.6983668790803499E-2</v>
      </c>
      <c r="N15" s="30">
        <f t="shared" ca="1" si="2"/>
        <v>390.32989836040019</v>
      </c>
      <c r="O15" s="23">
        <f ca="1">L15*E15*1000/COS(G15*3.14/180)-J15*E15*L2*1000/COS(3.14*G2/180)</f>
        <v>5.6434959526448552</v>
      </c>
      <c r="P15" s="24">
        <f t="shared" si="3"/>
        <v>566.52449196835255</v>
      </c>
    </row>
    <row r="16" spans="1:16">
      <c r="A16">
        <f>'Airfoil Interpolation'!AG18</f>
        <v>1.1949999999999999E-3</v>
      </c>
      <c r="B16">
        <f>'Airfoil Interpolation'!AH18</f>
        <v>6.4083333333333327E-3</v>
      </c>
      <c r="D16">
        <f t="shared" si="4"/>
        <v>0.56652449196835253</v>
      </c>
      <c r="E16">
        <f t="shared" ca="1" si="4"/>
        <v>0.33046138167035732</v>
      </c>
      <c r="F16">
        <f t="shared" si="4"/>
        <v>0.35378079478703972</v>
      </c>
      <c r="G16">
        <f t="shared" ca="1" si="4"/>
        <v>-6.0160156517542562</v>
      </c>
      <c r="J16">
        <f t="shared" si="5"/>
        <v>0</v>
      </c>
      <c r="K16" s="1">
        <f t="shared" ca="1" si="0"/>
        <v>1.8597208198865075E-3</v>
      </c>
      <c r="L16" s="1">
        <f t="shared" ca="1" si="1"/>
        <v>6.2824603549885647E-3</v>
      </c>
      <c r="N16" s="30">
        <f t="shared" ca="1" si="2"/>
        <v>386.71775723114331</v>
      </c>
      <c r="O16" s="23">
        <f ca="1">L16*E16*1000/COS(G16*3.14/180)-J16*E16*L2*1000/COS(3.14*G2/180)</f>
        <v>2.0875960325620753</v>
      </c>
      <c r="P16" s="24">
        <f t="shared" si="3"/>
        <v>566.52449196835255</v>
      </c>
    </row>
    <row r="17" spans="1:16">
      <c r="A17">
        <f>'Airfoil Interpolation'!AG19</f>
        <v>7.8666666666666663E-4</v>
      </c>
      <c r="B17">
        <f>'Airfoil Interpolation'!AH19</f>
        <v>-3.5000000000000001E-3</v>
      </c>
      <c r="D17">
        <f t="shared" si="4"/>
        <v>0.56652449196835253</v>
      </c>
      <c r="E17">
        <f t="shared" ca="1" si="4"/>
        <v>0.33046138167035732</v>
      </c>
      <c r="F17">
        <f t="shared" si="4"/>
        <v>0.35378079478703972</v>
      </c>
      <c r="G17">
        <f t="shared" ca="1" si="4"/>
        <v>-6.0160156517542562</v>
      </c>
      <c r="J17">
        <f t="shared" si="5"/>
        <v>0</v>
      </c>
      <c r="K17" s="1">
        <f t="shared" ca="1" si="0"/>
        <v>4.1570128810038224E-4</v>
      </c>
      <c r="L17" s="1">
        <f t="shared" ca="1" si="1"/>
        <v>-3.5828619885337949E-3</v>
      </c>
      <c r="N17" s="30">
        <f t="shared" ca="1" si="2"/>
        <v>386.23792460583985</v>
      </c>
      <c r="O17" s="23">
        <f ca="1">L17*E17*1000/COS(G17*3.14/180)-J17*E17*L2*1000/COS(3.14*G2/180)</f>
        <v>-1.1905476596508076</v>
      </c>
      <c r="P17" s="24">
        <f t="shared" si="3"/>
        <v>566.52449196835255</v>
      </c>
    </row>
    <row r="18" spans="1:16">
      <c r="A18">
        <f>'Airfoil Interpolation'!AG20</f>
        <v>9.4741666666666672E-3</v>
      </c>
      <c r="B18">
        <f>'Airfoil Interpolation'!AH20</f>
        <v>-1.3922500000000001E-2</v>
      </c>
      <c r="D18">
        <f t="shared" si="4"/>
        <v>0.56652449196835253</v>
      </c>
      <c r="E18">
        <f t="shared" ca="1" si="4"/>
        <v>0.33046138167035732</v>
      </c>
      <c r="F18">
        <f t="shared" si="4"/>
        <v>0.35378079478703972</v>
      </c>
      <c r="G18">
        <f t="shared" ca="1" si="4"/>
        <v>-6.0160156517542562</v>
      </c>
      <c r="J18">
        <f t="shared" si="5"/>
        <v>0</v>
      </c>
      <c r="K18" s="1">
        <f t="shared" ca="1" si="0"/>
        <v>7.963611008911976E-3</v>
      </c>
      <c r="L18" s="1">
        <f t="shared" ca="1" si="1"/>
        <v>-1.4920442741144822E-2</v>
      </c>
      <c r="N18" s="30">
        <f t="shared" ca="1" si="2"/>
        <v>388.7460162605355</v>
      </c>
      <c r="O18" s="23">
        <f ca="1">L18*E18*1000/COS(G18*3.14/180)-J18*E18*L2*1000/COS(3.14*G2/180)</f>
        <v>-4.9579074614853242</v>
      </c>
      <c r="P18" s="24">
        <f t="shared" si="3"/>
        <v>566.52449196835255</v>
      </c>
    </row>
    <row r="19" spans="1:16">
      <c r="A19">
        <f>'Airfoil Interpolation'!AG21</f>
        <v>3.4606666666666668E-2</v>
      </c>
      <c r="B19">
        <f>'Airfoil Interpolation'!AH21</f>
        <v>-2.5683333333333332E-2</v>
      </c>
      <c r="D19">
        <f t="shared" si="4"/>
        <v>0.56652449196835253</v>
      </c>
      <c r="E19">
        <f t="shared" ca="1" si="4"/>
        <v>0.33046138167035732</v>
      </c>
      <c r="F19">
        <f t="shared" si="4"/>
        <v>0.35378079478703972</v>
      </c>
      <c r="G19">
        <f t="shared" ca="1" si="4"/>
        <v>-6.0160156517542562</v>
      </c>
      <c r="J19">
        <f t="shared" si="5"/>
        <v>0</v>
      </c>
      <c r="K19" s="1">
        <f t="shared" ca="1" si="0"/>
        <v>3.1725848761586406E-2</v>
      </c>
      <c r="L19" s="1">
        <f t="shared" ca="1" si="1"/>
        <v>-2.9328558608578477E-2</v>
      </c>
      <c r="N19" s="30">
        <f t="shared" ca="1" si="2"/>
        <v>396.64195996002746</v>
      </c>
      <c r="O19" s="23">
        <f ca="1">L19*E19*1000/COS(G19*3.14/180)-J19*E19*L2*1000/COS(3.14*G2/180)</f>
        <v>-9.745574047819705</v>
      </c>
      <c r="P19" s="24">
        <f t="shared" si="3"/>
        <v>566.52449196835255</v>
      </c>
    </row>
    <row r="20" spans="1:16">
      <c r="A20">
        <f>'Airfoil Interpolation'!AG22</f>
        <v>9.5208333333333339E-2</v>
      </c>
      <c r="B20">
        <f>'Airfoil Interpolation'!AH22</f>
        <v>-3.9844166666666667E-2</v>
      </c>
      <c r="D20">
        <f t="shared" ref="D20:G31" si="6">D19</f>
        <v>0.56652449196835253</v>
      </c>
      <c r="E20">
        <f t="shared" ca="1" si="6"/>
        <v>0.33046138167035732</v>
      </c>
      <c r="F20">
        <f t="shared" si="6"/>
        <v>0.35378079478703972</v>
      </c>
      <c r="G20">
        <f t="shared" ca="1" si="6"/>
        <v>-6.0160156517542562</v>
      </c>
      <c r="J20">
        <f t="shared" si="5"/>
        <v>0</v>
      </c>
      <c r="K20" s="1">
        <f t="shared" ca="1" si="0"/>
        <v>9.0510701031887991E-2</v>
      </c>
      <c r="L20" s="1">
        <f t="shared" ca="1" si="1"/>
        <v>-4.9872749495041689E-2</v>
      </c>
      <c r="N20" s="30">
        <f t="shared" ca="1" si="2"/>
        <v>416.17555308119768</v>
      </c>
      <c r="O20" s="23">
        <f ca="1">L20*E20*1000/COS(G20*3.14/180)-J20*E20*L2*1000/COS(3.14*G2/180)</f>
        <v>-16.572194346780051</v>
      </c>
      <c r="P20" s="24">
        <f t="shared" si="3"/>
        <v>566.52449196835255</v>
      </c>
    </row>
    <row r="21" spans="1:16">
      <c r="A21">
        <f>'Airfoil Interpolation'!AG23</f>
        <v>0.17642916666666666</v>
      </c>
      <c r="B21">
        <f>'Airfoil Interpolation'!AH23</f>
        <v>-4.7655833333333335E-2</v>
      </c>
      <c r="D21">
        <f t="shared" si="6"/>
        <v>0.56652449196835253</v>
      </c>
      <c r="E21">
        <f t="shared" ca="1" si="6"/>
        <v>0.33046138167035732</v>
      </c>
      <c r="F21">
        <f t="shared" si="6"/>
        <v>0.35378079478703972</v>
      </c>
      <c r="G21">
        <f t="shared" ca="1" si="6"/>
        <v>-6.0160156517542562</v>
      </c>
      <c r="J21">
        <f t="shared" si="5"/>
        <v>0</v>
      </c>
      <c r="K21" s="1">
        <f t="shared" ca="1" si="0"/>
        <v>0.17046637529446909</v>
      </c>
      <c r="L21" s="1">
        <f t="shared" ca="1" si="1"/>
        <v>-6.6239653145231961E-2</v>
      </c>
      <c r="N21" s="30">
        <f t="shared" ca="1" si="2"/>
        <v>442.74398948029909</v>
      </c>
      <c r="O21" s="23">
        <f ca="1">L21*E21*1000/COS(G21*3.14/180)-J21*E21*L2*1000/COS(3.14*G2/180)</f>
        <v>-22.010745677761772</v>
      </c>
      <c r="P21" s="24">
        <f t="shared" si="3"/>
        <v>566.52449196835255</v>
      </c>
    </row>
    <row r="22" spans="1:16">
      <c r="A22">
        <f>'Airfoil Interpolation'!AG24</f>
        <v>0.26143166666666667</v>
      </c>
      <c r="B22">
        <f>'Airfoil Interpolation'!AH24</f>
        <v>-5.0471666666666665E-2</v>
      </c>
      <c r="D22">
        <f t="shared" si="6"/>
        <v>0.56652449196835253</v>
      </c>
      <c r="E22">
        <f t="shared" ca="1" si="6"/>
        <v>0.33046138167035732</v>
      </c>
      <c r="F22">
        <f t="shared" si="6"/>
        <v>0.35378079478703972</v>
      </c>
      <c r="G22">
        <f t="shared" ca="1" si="6"/>
        <v>-6.0160156517542562</v>
      </c>
      <c r="J22">
        <f t="shared" si="5"/>
        <v>0</v>
      </c>
      <c r="K22" s="1">
        <f t="shared" ca="1" si="0"/>
        <v>0.25470624141897769</v>
      </c>
      <c r="L22" s="1">
        <f t="shared" ca="1" si="1"/>
        <v>-7.8009057894256648E-2</v>
      </c>
      <c r="N22" s="30">
        <f t="shared" ca="1" si="2"/>
        <v>470.73601813917389</v>
      </c>
      <c r="O22" s="23">
        <f ca="1">L22*E22*1000/COS(G22*3.14/180)-J22*E22*L2*1000/COS(3.14*G2/180)</f>
        <v>-25.92159608848846</v>
      </c>
      <c r="P22" s="24">
        <f t="shared" si="3"/>
        <v>566.52449196835255</v>
      </c>
    </row>
    <row r="23" spans="1:16">
      <c r="A23">
        <f>'Airfoil Interpolation'!AG25</f>
        <v>0.34749999999999998</v>
      </c>
      <c r="B23">
        <f>'Airfoil Interpolation'!AH25</f>
        <v>-5.0358333333333331E-2</v>
      </c>
      <c r="D23">
        <f t="shared" si="6"/>
        <v>0.56652449196835253</v>
      </c>
      <c r="E23">
        <f t="shared" ca="1" si="6"/>
        <v>0.33046138167035732</v>
      </c>
      <c r="F23">
        <f t="shared" si="6"/>
        <v>0.35378079478703972</v>
      </c>
      <c r="G23">
        <f t="shared" ca="1" si="6"/>
        <v>-6.0160156517542562</v>
      </c>
      <c r="J23">
        <f t="shared" si="5"/>
        <v>0</v>
      </c>
      <c r="K23" s="1">
        <f t="shared" ca="1" si="0"/>
        <v>0.34031291740064967</v>
      </c>
      <c r="L23" s="1">
        <f t="shared" ca="1" si="1"/>
        <v>-8.6961563437774322E-2</v>
      </c>
      <c r="N23" s="30">
        <f t="shared" ca="1" si="2"/>
        <v>499.18222345398499</v>
      </c>
      <c r="O23" s="23">
        <f ca="1">L23*E23*1000/COS(G23*3.14/180)-J23*E23*L2*1000/COS(3.14*G2/180)</f>
        <v>-28.896420281258319</v>
      </c>
      <c r="P23" s="24">
        <f t="shared" si="3"/>
        <v>566.52449196835255</v>
      </c>
    </row>
    <row r="24" spans="1:16">
      <c r="A24">
        <f>'Airfoil Interpolation'!AG26</f>
        <v>0.434085</v>
      </c>
      <c r="B24">
        <f>'Airfoil Interpolation'!AH26</f>
        <v>-4.7903333333333332E-2</v>
      </c>
      <c r="D24">
        <f t="shared" si="6"/>
        <v>0.56652449196835253</v>
      </c>
      <c r="E24">
        <f t="shared" ca="1" si="6"/>
        <v>0.33046138167035732</v>
      </c>
      <c r="F24">
        <f t="shared" si="6"/>
        <v>0.35378079478703972</v>
      </c>
      <c r="G24">
        <f t="shared" ca="1" si="6"/>
        <v>-6.0160156517542562</v>
      </c>
      <c r="J24">
        <f t="shared" si="5"/>
        <v>0</v>
      </c>
      <c r="K24" s="1">
        <f t="shared" ca="1" si="0"/>
        <v>0.4266787152784291</v>
      </c>
      <c r="L24" s="1">
        <f t="shared" ca="1" si="1"/>
        <v>-9.3626824383365767E-2</v>
      </c>
      <c r="N24" s="30">
        <f t="shared" ca="1" si="2"/>
        <v>527.88067705513606</v>
      </c>
      <c r="O24" s="23">
        <f ca="1">L24*E24*1000/COS(G24*3.14/180)-J24*E24*L2*1000/COS(3.14*G2/180)</f>
        <v>-31.11121695641107</v>
      </c>
      <c r="P24" s="24">
        <f t="shared" si="3"/>
        <v>566.52449196835255</v>
      </c>
    </row>
    <row r="25" spans="1:16">
      <c r="A25">
        <f>'Airfoil Interpolation'!AG27</f>
        <v>0.52108583333333336</v>
      </c>
      <c r="B25">
        <f>'Airfoil Interpolation'!AH27</f>
        <v>-4.3657500000000002E-2</v>
      </c>
      <c r="D25">
        <f t="shared" si="6"/>
        <v>0.56652449196835253</v>
      </c>
      <c r="E25">
        <f t="shared" ca="1" si="6"/>
        <v>0.33046138167035732</v>
      </c>
      <c r="F25">
        <f t="shared" si="6"/>
        <v>0.35378079478703972</v>
      </c>
      <c r="G25">
        <f t="shared" ca="1" si="6"/>
        <v>-6.0160156517542562</v>
      </c>
      <c r="J25">
        <f t="shared" si="5"/>
        <v>0</v>
      </c>
      <c r="K25" s="1">
        <f t="shared" ca="1" si="0"/>
        <v>0.51364565475351276</v>
      </c>
      <c r="L25" s="1">
        <f t="shared" ca="1" si="1"/>
        <v>-9.8545052983206885E-2</v>
      </c>
      <c r="N25" s="30">
        <f t="shared" ca="1" si="2"/>
        <v>556.77888373750534</v>
      </c>
      <c r="O25" s="23">
        <f ca="1">L25*E25*1000/COS(G25*3.14/180)-J25*E25*L2*1000/COS(3.14*G2/180)</f>
        <v>-32.745493009440032</v>
      </c>
      <c r="P25" s="24">
        <f t="shared" si="3"/>
        <v>566.52449196835255</v>
      </c>
    </row>
    <row r="26" spans="1:16">
      <c r="A26">
        <f>'Airfoil Interpolation'!AG28</f>
        <v>0.60824</v>
      </c>
      <c r="B26">
        <f>'Airfoil Interpolation'!AH28</f>
        <v>-3.8040833333333336E-2</v>
      </c>
      <c r="D26">
        <f t="shared" si="6"/>
        <v>0.56652449196835253</v>
      </c>
      <c r="E26">
        <f t="shared" ca="1" si="6"/>
        <v>0.33046138167035732</v>
      </c>
      <c r="F26">
        <f t="shared" si="6"/>
        <v>0.35378079478703972</v>
      </c>
      <c r="G26">
        <f t="shared" ca="1" si="6"/>
        <v>-6.0160156517542562</v>
      </c>
      <c r="J26">
        <f t="shared" si="5"/>
        <v>0</v>
      </c>
      <c r="K26" s="1">
        <f t="shared" ca="1" si="0"/>
        <v>0.60090868356733851</v>
      </c>
      <c r="L26" s="1">
        <f t="shared" ca="1" si="1"/>
        <v>-0.10210859931527633</v>
      </c>
      <c r="N26" s="30">
        <f t="shared" ca="1" si="2"/>
        <v>585.77547781810972</v>
      </c>
      <c r="O26" s="23">
        <f ca="1">L26*E26*1000/COS(G26*3.14/180)-J26*E26*L2*1000/COS(3.14*G2/180)</f>
        <v>-33.92962227796334</v>
      </c>
      <c r="P26" s="24">
        <f t="shared" si="3"/>
        <v>566.52449196835255</v>
      </c>
    </row>
    <row r="27" spans="1:16">
      <c r="A27">
        <f>'Airfoil Interpolation'!AG29</f>
        <v>0.69541750000000002</v>
      </c>
      <c r="B27">
        <f>'Airfoil Interpolation'!AH29</f>
        <v>-3.1237500000000001E-2</v>
      </c>
      <c r="D27">
        <f t="shared" si="6"/>
        <v>0.56652449196835253</v>
      </c>
      <c r="E27">
        <f t="shared" ca="1" si="6"/>
        <v>0.33046138167035732</v>
      </c>
      <c r="F27">
        <f t="shared" si="6"/>
        <v>0.35378079478703972</v>
      </c>
      <c r="G27">
        <f t="shared" ca="1" si="6"/>
        <v>-6.0160156517542562</v>
      </c>
      <c r="J27">
        <f t="shared" si="5"/>
        <v>0</v>
      </c>
      <c r="K27" s="1">
        <f t="shared" ca="1" si="0"/>
        <v>0.68831922484590702</v>
      </c>
      <c r="L27" s="1">
        <f t="shared" ca="1" si="1"/>
        <v>-0.10448793675152547</v>
      </c>
      <c r="N27" s="30">
        <f t="shared" ca="1" si="2"/>
        <v>614.82108875178585</v>
      </c>
      <c r="O27" s="23">
        <f ca="1">L27*E27*1000/COS(G27*3.14/180)-J27*E27*L2*1000/COS(3.14*G2/180)</f>
        <v>-34.720251284972683</v>
      </c>
      <c r="P27" s="24">
        <f t="shared" si="3"/>
        <v>566.52449196835255</v>
      </c>
    </row>
    <row r="28" spans="1:16">
      <c r="A28">
        <f>'Airfoil Interpolation'!AG30</f>
        <v>0.78255416666666666</v>
      </c>
      <c r="B28">
        <f>'Airfoil Interpolation'!AH30</f>
        <v>-2.3520833333333335E-2</v>
      </c>
      <c r="D28">
        <f t="shared" si="6"/>
        <v>0.56652449196835253</v>
      </c>
      <c r="E28">
        <f t="shared" ca="1" si="6"/>
        <v>0.33046138167035732</v>
      </c>
      <c r="F28">
        <f t="shared" si="6"/>
        <v>0.35378079478703972</v>
      </c>
      <c r="G28">
        <f t="shared" ca="1" si="6"/>
        <v>-6.0160156517542562</v>
      </c>
      <c r="J28">
        <f t="shared" si="5"/>
        <v>0</v>
      </c>
      <c r="K28" s="1">
        <f t="shared" ca="1" si="0"/>
        <v>0.77578483232584561</v>
      </c>
      <c r="L28" s="1">
        <f t="shared" ca="1" si="1"/>
        <v>-0.10594963975546016</v>
      </c>
      <c r="N28" s="30">
        <f t="shared" ca="1" si="2"/>
        <v>643.88499760968489</v>
      </c>
      <c r="O28" s="23">
        <f ca="1">L28*E28*1000/COS(G28*3.14/180)-J28*E28*L2*1000/COS(3.14*G2/180)</f>
        <v>-35.20595994358365</v>
      </c>
      <c r="P28" s="24">
        <f t="shared" si="3"/>
        <v>566.52449196835255</v>
      </c>
    </row>
    <row r="29" spans="1:16">
      <c r="A29">
        <f>'Airfoil Interpolation'!AG31</f>
        <v>0.86960916666666666</v>
      </c>
      <c r="B29">
        <f>'Airfoil Interpolation'!AH31</f>
        <v>-1.485E-2</v>
      </c>
      <c r="D29">
        <f t="shared" si="6"/>
        <v>0.56652449196835253</v>
      </c>
      <c r="E29">
        <f t="shared" ca="1" si="6"/>
        <v>0.33046138167035732</v>
      </c>
      <c r="F29">
        <f t="shared" si="6"/>
        <v>0.35378079478703972</v>
      </c>
      <c r="G29">
        <f t="shared" ca="1" si="6"/>
        <v>-6.0160156517542562</v>
      </c>
      <c r="J29">
        <f t="shared" si="5"/>
        <v>0</v>
      </c>
      <c r="K29" s="1">
        <f t="shared" ca="1" si="0"/>
        <v>0.86326917476528076</v>
      </c>
      <c r="L29" s="1">
        <f t="shared" ca="1" si="1"/>
        <v>-0.106448573894766</v>
      </c>
      <c r="N29" s="30">
        <f t="shared" ca="1" si="2"/>
        <v>672.95513189916733</v>
      </c>
      <c r="O29" s="23">
        <f ca="1">L29*E29*1000/COS(G29*3.14/180)-J29*E29*L2*1000/COS(3.14*G2/180)</f>
        <v>-35.371750552814895</v>
      </c>
      <c r="P29" s="24">
        <f t="shared" si="3"/>
        <v>566.52449196835255</v>
      </c>
    </row>
    <row r="30" spans="1:16">
      <c r="A30">
        <f>'Airfoil Interpolation'!AG32</f>
        <v>0.95531333333333335</v>
      </c>
      <c r="B30">
        <f>'Airfoil Interpolation'!AH32</f>
        <v>-5.5599999999999998E-3</v>
      </c>
      <c r="D30">
        <f t="shared" si="6"/>
        <v>0.56652449196835253</v>
      </c>
      <c r="E30">
        <f t="shared" ca="1" si="6"/>
        <v>0.33046138167035732</v>
      </c>
      <c r="F30">
        <f t="shared" si="6"/>
        <v>0.35378079478703972</v>
      </c>
      <c r="G30">
        <f t="shared" ca="1" si="6"/>
        <v>-6.0160156517542562</v>
      </c>
      <c r="J30">
        <f t="shared" si="5"/>
        <v>0</v>
      </c>
      <c r="K30" s="1">
        <f t="shared" ca="1" si="0"/>
        <v>0.94947497575089557</v>
      </c>
      <c r="L30" s="1">
        <f t="shared" ca="1" si="1"/>
        <v>-0.10618605399090805</v>
      </c>
      <c r="N30" s="30">
        <f t="shared" ca="1" si="2"/>
        <v>701.60042020226115</v>
      </c>
      <c r="O30" s="23">
        <f ca="1">L30*E30*1000/COS(G30*3.14/180)-J30*E30*L2*1000/COS(3.14*G2/180)</f>
        <v>-35.284517927570036</v>
      </c>
      <c r="P30" s="24">
        <f t="shared" si="3"/>
        <v>566.52449196835255</v>
      </c>
    </row>
    <row r="31" spans="1:16" ht="15" thickBot="1">
      <c r="A31">
        <f>'Airfoil Interpolation'!AG33</f>
        <v>1</v>
      </c>
      <c r="B31">
        <f>'Airfoil Interpolation'!AH33</f>
        <v>-5.5416666666666667E-4</v>
      </c>
      <c r="D31">
        <f t="shared" si="6"/>
        <v>0.56652449196835253</v>
      </c>
      <c r="E31">
        <f t="shared" ca="1" si="6"/>
        <v>0.33046138167035732</v>
      </c>
      <c r="F31">
        <f t="shared" si="6"/>
        <v>0.35378079478703972</v>
      </c>
      <c r="G31">
        <f t="shared" ca="1" si="6"/>
        <v>-6.0160156517542562</v>
      </c>
      <c r="J31">
        <f t="shared" si="5"/>
        <v>0</v>
      </c>
      <c r="K31" s="1">
        <f t="shared" ca="1" si="0"/>
        <v>0.9944401646555816</v>
      </c>
      <c r="L31" s="1">
        <f t="shared" ca="1" si="1"/>
        <v>-0.10588720293843933</v>
      </c>
      <c r="N31" s="31">
        <f t="shared" ca="1" si="2"/>
        <v>716.54188336426751</v>
      </c>
      <c r="O31" s="32">
        <f ca="1">L31*E31*1000/COS(G31*3.14/180)-J31*E31*L2*1000/COS(3.14*G2/180)</f>
        <v>-35.185212840675952</v>
      </c>
      <c r="P31" s="33">
        <f t="shared" si="3"/>
        <v>566.52449196835255</v>
      </c>
    </row>
  </sheetData>
  <pageMargins left="0.7" right="0.7" top="0.75" bottom="0.75" header="0.3" footer="0.3"/>
  <drawing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opLeftCell="A13" workbookViewId="0">
      <selection activeCell="V30" sqref="V30"/>
    </sheetView>
  </sheetViews>
  <sheetFormatPr baseColWidth="10" defaultColWidth="8.83203125" defaultRowHeight="14" x14ac:dyDescent="0"/>
  <sheetData>
    <row r="1" spans="1:16" ht="15" thickBot="1">
      <c r="A1">
        <v>9</v>
      </c>
      <c r="D1" t="s">
        <v>0</v>
      </c>
      <c r="E1" t="s">
        <v>1</v>
      </c>
      <c r="F1" t="s">
        <v>2</v>
      </c>
      <c r="G1" t="s">
        <v>5</v>
      </c>
      <c r="J1" t="s">
        <v>10</v>
      </c>
      <c r="K1" t="s">
        <v>9</v>
      </c>
      <c r="N1" s="6" t="s">
        <v>6</v>
      </c>
      <c r="O1" s="6" t="s">
        <v>7</v>
      </c>
      <c r="P1" s="6" t="s">
        <v>8</v>
      </c>
    </row>
    <row r="2" spans="1:16">
      <c r="A2">
        <f>'Airfoil Interpolation'!AK4</f>
        <v>1</v>
      </c>
      <c r="B2">
        <f>'Airfoil Interpolation'!AL4</f>
        <v>7.4666666666666664E-4</v>
      </c>
      <c r="D2" s="4">
        <f>'Loft Viewer'!J5</f>
        <v>0.64745656224954573</v>
      </c>
      <c r="E2" s="4">
        <f ca="1">'Loft Viewer'!J6</f>
        <v>0.29104855633352572</v>
      </c>
      <c r="F2" s="4">
        <f>'Loft Viewer'!J7</f>
        <v>0.40432090832804535</v>
      </c>
      <c r="G2" s="4">
        <f ca="1">-'Loft Viewer'!J8</f>
        <v>-4.7440780977776518</v>
      </c>
      <c r="J2">
        <f>'Loft Viewer'!B2</f>
        <v>0</v>
      </c>
      <c r="K2" s="1">
        <f ca="1">((A2)*COS(3.14*G2/180)-B2*SIN(3.14*G2/180))</f>
        <v>0.99663924869495357</v>
      </c>
      <c r="L2" s="1">
        <f ca="1">((A2)*SIN(3.14*G2/180)+B2*COS(3.14*G2/180))/COS(3.14*G2/180)</f>
        <v>-8.2200591237901632E-2</v>
      </c>
      <c r="N2" s="27">
        <f ca="1">K2*E2*1000/COS(G2*3.14/180)+F2*1000</f>
        <v>732.32348658354124</v>
      </c>
      <c r="O2" s="28">
        <f ca="1">L2*E2*1000/COS(G2*3.14/180)-J2*E2*L2*1000/COS(3.14*G2/180)</f>
        <v>-24.006525100503328</v>
      </c>
      <c r="P2" s="29">
        <f>D2*1000</f>
        <v>647.45656224954575</v>
      </c>
    </row>
    <row r="3" spans="1:16">
      <c r="A3">
        <f>'Airfoil Interpolation'!AK5</f>
        <v>0.95589333333333337</v>
      </c>
      <c r="B3">
        <f>'Airfoil Interpolation'!AL5</f>
        <v>5.7433333333333338E-3</v>
      </c>
      <c r="D3">
        <f>D2</f>
        <v>0.64745656224954573</v>
      </c>
      <c r="E3">
        <f ca="1">E2</f>
        <v>0.29104855633352572</v>
      </c>
      <c r="F3">
        <f>F2</f>
        <v>0.40432090832804535</v>
      </c>
      <c r="G3">
        <f ca="1">G2</f>
        <v>-4.7440780977776518</v>
      </c>
      <c r="J3">
        <f>J2</f>
        <v>0</v>
      </c>
      <c r="K3" s="1">
        <f t="shared" ref="K3:K31" ca="1" si="0">((A3)*COS(3.14*G3/180)-B3*SIN(3.14*G3/180))</f>
        <v>0.95309657723795083</v>
      </c>
      <c r="L3" s="1">
        <f t="shared" ref="L3:L31" ca="1" si="1">((A3)*SIN(3.14*G3/180)+B3*COS(3.14*G3/180))/COS(3.14*G3/180)</f>
        <v>-7.3545397515924149E-2</v>
      </c>
      <c r="N3" s="30">
        <f t="shared" ref="N3:N31" ca="1" si="2">K3*E3*1000/COS(G3*3.14/180)+F3*1000</f>
        <v>719.606932851583</v>
      </c>
      <c r="O3" s="23">
        <f ca="1">L3*E3*1000/COS(G3*3.14/180)-J3*E3*L2*1000/COS(3.14*G2/180)</f>
        <v>-21.47879236516302</v>
      </c>
      <c r="P3" s="24">
        <f t="shared" ref="P3:P31" si="3">D3*1000</f>
        <v>647.45656224954575</v>
      </c>
    </row>
    <row r="4" spans="1:16">
      <c r="A4">
        <f>'Airfoil Interpolation'!AK6</f>
        <v>0.87020999999999993</v>
      </c>
      <c r="B4">
        <f>'Airfoil Interpolation'!AL6</f>
        <v>1.5346666666666666E-2</v>
      </c>
      <c r="D4">
        <f t="shared" ref="D4:G19" si="4">D3</f>
        <v>0.64745656224954573</v>
      </c>
      <c r="E4">
        <f t="shared" ca="1" si="4"/>
        <v>0.29104855633352572</v>
      </c>
      <c r="F4">
        <f t="shared" si="4"/>
        <v>0.40432090832804535</v>
      </c>
      <c r="G4">
        <f t="shared" ca="1" si="4"/>
        <v>-4.7440780977776518</v>
      </c>
      <c r="J4">
        <f t="shared" ref="J4:J31" si="5">J3</f>
        <v>0</v>
      </c>
      <c r="K4" s="1">
        <f t="shared" ca="1" si="0"/>
        <v>0.86850033675100002</v>
      </c>
      <c r="L4" s="1">
        <f t="shared" ca="1" si="1"/>
        <v>-5.6834866634467705E-2</v>
      </c>
      <c r="N4" s="30">
        <f t="shared" ca="1" si="2"/>
        <v>694.90076298012116</v>
      </c>
      <c r="O4" s="23">
        <f ca="1">L4*E4*1000/COS(G4*3.14/180)-J4*E4*L2*1000/COS(3.14*G2/180)</f>
        <v>-16.598513853693515</v>
      </c>
      <c r="P4" s="24">
        <f t="shared" si="3"/>
        <v>647.45656224954575</v>
      </c>
    </row>
    <row r="5" spans="1:16">
      <c r="A5">
        <f>'Airfoil Interpolation'!AK7</f>
        <v>0.78321333333333332</v>
      </c>
      <c r="B5">
        <f>'Airfoil Interpolation'!AL7</f>
        <v>2.5083333333333332E-2</v>
      </c>
      <c r="D5">
        <f t="shared" si="4"/>
        <v>0.64745656224954573</v>
      </c>
      <c r="E5">
        <f t="shared" ca="1" si="4"/>
        <v>0.29104855633352572</v>
      </c>
      <c r="F5">
        <f t="shared" si="4"/>
        <v>0.40432090832804535</v>
      </c>
      <c r="G5">
        <f t="shared" ca="1" si="4"/>
        <v>-4.7440780977776518</v>
      </c>
      <c r="J5">
        <f t="shared" si="5"/>
        <v>0</v>
      </c>
      <c r="K5" s="1">
        <f t="shared" ca="1" si="0"/>
        <v>0.78260627956205464</v>
      </c>
      <c r="L5" s="1">
        <f t="shared" ca="1" si="1"/>
        <v>-3.9882065020963295E-2</v>
      </c>
      <c r="N5" s="30">
        <f t="shared" ca="1" si="2"/>
        <v>669.8155682286299</v>
      </c>
      <c r="O5" s="23">
        <f ca="1">L5*E5*1000/COS(G5*3.14/180)-J5*E5*L2*1000/COS(3.14*G2/180)</f>
        <v>-11.647480639338792</v>
      </c>
      <c r="P5" s="24">
        <f t="shared" si="3"/>
        <v>647.45656224954575</v>
      </c>
    </row>
    <row r="6" spans="1:16">
      <c r="A6">
        <f>'Airfoil Interpolation'!AK8</f>
        <v>0.69617333333333331</v>
      </c>
      <c r="B6">
        <f>'Airfoil Interpolation'!AL8</f>
        <v>3.4786666666666667E-2</v>
      </c>
      <c r="D6">
        <f t="shared" si="4"/>
        <v>0.64745656224954573</v>
      </c>
      <c r="E6">
        <f t="shared" ca="1" si="4"/>
        <v>0.29104855633352572</v>
      </c>
      <c r="F6">
        <f t="shared" si="4"/>
        <v>0.40432090832804535</v>
      </c>
      <c r="G6">
        <f t="shared" ca="1" si="4"/>
        <v>-4.7440780977776518</v>
      </c>
      <c r="J6">
        <f t="shared" si="5"/>
        <v>0</v>
      </c>
      <c r="K6" s="1">
        <f t="shared" ca="1" si="0"/>
        <v>0.69666628190118085</v>
      </c>
      <c r="L6" s="1">
        <f t="shared" ca="1" si="1"/>
        <v>-2.2959002359616339E-2</v>
      </c>
      <c r="N6" s="30">
        <f t="shared" ca="1" si="2"/>
        <v>644.71695665037544</v>
      </c>
      <c r="O6" s="23">
        <f ca="1">L6*E6*1000/COS(G6*3.14/180)-J6*E6*L2*1000/COS(3.14*G2/180)</f>
        <v>-6.705132628954976</v>
      </c>
      <c r="P6" s="24">
        <f t="shared" si="3"/>
        <v>647.45656224954575</v>
      </c>
    </row>
    <row r="7" spans="1:16">
      <c r="A7">
        <f>'Airfoil Interpolation'!AK9</f>
        <v>0.60921333333333338</v>
      </c>
      <c r="B7">
        <f>'Airfoil Interpolation'!AL9</f>
        <v>4.4436666666666666E-2</v>
      </c>
      <c r="D7">
        <f t="shared" si="4"/>
        <v>0.64745656224954573</v>
      </c>
      <c r="E7">
        <f t="shared" ca="1" si="4"/>
        <v>0.29104855633352572</v>
      </c>
      <c r="F7">
        <f t="shared" si="4"/>
        <v>0.40432090832804535</v>
      </c>
      <c r="G7">
        <f t="shared" ca="1" si="4"/>
        <v>-4.7440780977776518</v>
      </c>
      <c r="J7">
        <f t="shared" si="5"/>
        <v>0</v>
      </c>
      <c r="K7" s="1">
        <f t="shared" ca="1" si="0"/>
        <v>0.61080160172921016</v>
      </c>
      <c r="L7" s="1">
        <f t="shared" ca="1" si="1"/>
        <v>-6.0959088122350793E-3</v>
      </c>
      <c r="N7" s="30">
        <f t="shared" ca="1" si="2"/>
        <v>619.64034140037882</v>
      </c>
      <c r="O7" s="23">
        <f ca="1">L7*E7*1000/COS(G7*3.14/180)-J7*E7*L2*1000/COS(3.14*G2/180)</f>
        <v>-1.7802984833498938</v>
      </c>
      <c r="P7" s="24">
        <f t="shared" si="3"/>
        <v>647.45656224954575</v>
      </c>
    </row>
    <row r="8" spans="1:16">
      <c r="A8">
        <f>'Airfoil Interpolation'!AK10</f>
        <v>0.52239333333333338</v>
      </c>
      <c r="B8">
        <f>'Airfoil Interpolation'!AL10</f>
        <v>5.3433333333333333E-2</v>
      </c>
      <c r="D8">
        <f t="shared" si="4"/>
        <v>0.64745656224954573</v>
      </c>
      <c r="E8">
        <f t="shared" ca="1" si="4"/>
        <v>0.29104855633352572</v>
      </c>
      <c r="F8">
        <f t="shared" si="4"/>
        <v>0.40432090832804535</v>
      </c>
      <c r="G8">
        <f t="shared" ca="1" si="4"/>
        <v>-4.7440780977776518</v>
      </c>
      <c r="J8">
        <f t="shared" si="5"/>
        <v>0</v>
      </c>
      <c r="K8" s="1">
        <f t="shared" ca="1" si="0"/>
        <v>0.5250224356738673</v>
      </c>
      <c r="L8" s="1">
        <f t="shared" ca="1" si="1"/>
        <v>1.0102238785706213E-2</v>
      </c>
      <c r="N8" s="30">
        <f t="shared" ca="1" si="2"/>
        <v>594.58870038422106</v>
      </c>
      <c r="O8" s="23">
        <f ca="1">L8*E8*1000/COS(G8*3.14/180)-J8*E8*L2*1000/COS(3.14*G2/180)</f>
        <v>2.9503394723578551</v>
      </c>
      <c r="P8" s="24">
        <f t="shared" si="3"/>
        <v>647.45656224954575</v>
      </c>
    </row>
    <row r="9" spans="1:16">
      <c r="A9">
        <f>'Airfoil Interpolation'!AK11</f>
        <v>0.43586999999999998</v>
      </c>
      <c r="B9">
        <f>'Airfoil Interpolation'!AL11</f>
        <v>6.0559999999999996E-2</v>
      </c>
      <c r="D9">
        <f t="shared" si="4"/>
        <v>0.64745656224954573</v>
      </c>
      <c r="E9">
        <f t="shared" ca="1" si="4"/>
        <v>0.29104855633352572</v>
      </c>
      <c r="F9">
        <f t="shared" si="4"/>
        <v>0.40432090832804535</v>
      </c>
      <c r="G9">
        <f t="shared" ca="1" si="4"/>
        <v>-4.7440780977776518</v>
      </c>
      <c r="J9">
        <f t="shared" si="5"/>
        <v>0</v>
      </c>
      <c r="K9" s="1">
        <f t="shared" ca="1" si="0"/>
        <v>0.43938434044369545</v>
      </c>
      <c r="L9" s="1">
        <f t="shared" ca="1" si="1"/>
        <v>2.4405778697135803E-2</v>
      </c>
      <c r="N9" s="30">
        <f t="shared" ca="1" si="2"/>
        <v>569.57825883213559</v>
      </c>
      <c r="O9" s="23">
        <f ca="1">L9*E9*1000/COS(G9*3.14/180)-J9*E9*L2*1000/COS(3.14*G2/180)</f>
        <v>7.1276608849982344</v>
      </c>
      <c r="P9" s="24">
        <f t="shared" si="3"/>
        <v>647.45656224954575</v>
      </c>
    </row>
    <row r="10" spans="1:16">
      <c r="A10">
        <f>'Airfoil Interpolation'!AK12</f>
        <v>0.34963666666666665</v>
      </c>
      <c r="B10">
        <f>'Airfoil Interpolation'!AL12</f>
        <v>6.5089999999999995E-2</v>
      </c>
      <c r="D10">
        <f t="shared" si="4"/>
        <v>0.64745656224954573</v>
      </c>
      <c r="E10">
        <f t="shared" ca="1" si="4"/>
        <v>0.29104855633352572</v>
      </c>
      <c r="F10">
        <f t="shared" si="4"/>
        <v>0.40432090832804535</v>
      </c>
      <c r="G10">
        <f t="shared" ca="1" si="4"/>
        <v>-4.7440780977776518</v>
      </c>
      <c r="J10">
        <f t="shared" si="5"/>
        <v>0</v>
      </c>
      <c r="K10" s="1">
        <f t="shared" ca="1" si="0"/>
        <v>0.35382060347070882</v>
      </c>
      <c r="L10" s="1">
        <f t="shared" ca="1" si="1"/>
        <v>3.6088597237106404E-2</v>
      </c>
      <c r="N10" s="30">
        <f t="shared" ca="1" si="2"/>
        <v>544.58953346652333</v>
      </c>
      <c r="O10" s="23">
        <f ca="1">L10*E10*1000/COS(G10*3.14/180)-J10*E10*L2*1000/COS(3.14*G2/180)</f>
        <v>10.539605644771585</v>
      </c>
      <c r="P10" s="24">
        <f t="shared" si="3"/>
        <v>647.45656224954575</v>
      </c>
    </row>
    <row r="11" spans="1:16">
      <c r="A11">
        <f>'Airfoil Interpolation'!AK13</f>
        <v>0.26417333333333332</v>
      </c>
      <c r="B11">
        <f>'Airfoil Interpolation'!AL13</f>
        <v>6.5716666666666673E-2</v>
      </c>
      <c r="D11">
        <f t="shared" si="4"/>
        <v>0.64745656224954573</v>
      </c>
      <c r="E11">
        <f t="shared" ca="1" si="4"/>
        <v>0.29104855633352572</v>
      </c>
      <c r="F11">
        <f t="shared" si="4"/>
        <v>0.40432090832804535</v>
      </c>
      <c r="G11">
        <f t="shared" ca="1" si="4"/>
        <v>-4.7440780977776518</v>
      </c>
      <c r="J11">
        <f t="shared" si="5"/>
        <v>0</v>
      </c>
      <c r="K11" s="1">
        <f t="shared" ca="1" si="0"/>
        <v>0.26870156849350502</v>
      </c>
      <c r="L11" s="1">
        <f t="shared" ca="1" si="1"/>
        <v>4.3804213055157179E-2</v>
      </c>
      <c r="N11" s="30">
        <f t="shared" ca="1" si="2"/>
        <v>519.7306824663292</v>
      </c>
      <c r="O11" s="23">
        <f ca="1">L11*E11*1000/COS(G11*3.14/180)-J11*E11*L2*1000/COS(3.14*G2/180)</f>
        <v>12.792936454349407</v>
      </c>
      <c r="P11" s="24">
        <f t="shared" si="3"/>
        <v>647.45656224954575</v>
      </c>
    </row>
    <row r="12" spans="1:16">
      <c r="A12">
        <f>'Airfoil Interpolation'!AK14</f>
        <v>0.17988333333333331</v>
      </c>
      <c r="B12">
        <f>'Airfoil Interpolation'!AL14</f>
        <v>6.1719999999999997E-2</v>
      </c>
      <c r="D12">
        <f t="shared" si="4"/>
        <v>0.64745656224954573</v>
      </c>
      <c r="E12">
        <f t="shared" ca="1" si="4"/>
        <v>0.29104855633352572</v>
      </c>
      <c r="F12">
        <f t="shared" si="4"/>
        <v>0.40432090832804535</v>
      </c>
      <c r="G12">
        <f t="shared" ca="1" si="4"/>
        <v>-4.7440780977776518</v>
      </c>
      <c r="J12">
        <f t="shared" si="5"/>
        <v>0</v>
      </c>
      <c r="K12" s="1">
        <f t="shared" ca="1" si="0"/>
        <v>0.18436967081920333</v>
      </c>
      <c r="L12" s="1">
        <f t="shared" ca="1" si="1"/>
        <v>4.679917075726657E-2</v>
      </c>
      <c r="N12" s="30">
        <f t="shared" ca="1" si="2"/>
        <v>495.10171340658206</v>
      </c>
      <c r="O12" s="23">
        <f ca="1">L12*E12*1000/COS(G12*3.14/180)-J12*E12*L2*1000/COS(3.14*G2/180)</f>
        <v>13.667608110208292</v>
      </c>
      <c r="P12" s="24">
        <f t="shared" si="3"/>
        <v>647.45656224954575</v>
      </c>
    </row>
    <row r="13" spans="1:16">
      <c r="A13">
        <f>'Airfoil Interpolation'!AK15</f>
        <v>9.9846666666666667E-2</v>
      </c>
      <c r="B13">
        <f>'Airfoil Interpolation'!AL15</f>
        <v>5.0676666666666662E-2</v>
      </c>
      <c r="D13">
        <f t="shared" si="4"/>
        <v>0.64745656224954573</v>
      </c>
      <c r="E13">
        <f t="shared" ca="1" si="4"/>
        <v>0.29104855633352572</v>
      </c>
      <c r="F13">
        <f t="shared" si="4"/>
        <v>0.40432090832804535</v>
      </c>
      <c r="G13">
        <f t="shared" ca="1" si="4"/>
        <v>-4.7440780977776518</v>
      </c>
      <c r="J13">
        <f t="shared" si="5"/>
        <v>0</v>
      </c>
      <c r="K13" s="1">
        <f t="shared" ca="1" si="0"/>
        <v>0.10369404832251831</v>
      </c>
      <c r="L13" s="1">
        <f t="shared" ca="1" si="1"/>
        <v>4.2394659455755199E-2</v>
      </c>
      <c r="N13" s="30">
        <f t="shared" ca="1" si="2"/>
        <v>471.54055250373455</v>
      </c>
      <c r="O13" s="23">
        <f ca="1">L13*E13*1000/COS(G13*3.14/180)-J13*E13*L2*1000/COS(3.14*G2/180)</f>
        <v>12.381279027620998</v>
      </c>
      <c r="P13" s="24">
        <f t="shared" si="3"/>
        <v>647.45656224954575</v>
      </c>
    </row>
    <row r="14" spans="1:16">
      <c r="A14">
        <f>'Airfoil Interpolation'!AK16</f>
        <v>3.8039999999999997E-2</v>
      </c>
      <c r="B14">
        <f>'Airfoil Interpolation'!AL16</f>
        <v>3.307333333333333E-2</v>
      </c>
      <c r="D14">
        <f t="shared" si="4"/>
        <v>0.64745656224954573</v>
      </c>
      <c r="E14">
        <f t="shared" ca="1" si="4"/>
        <v>0.29104855633352572</v>
      </c>
      <c r="F14">
        <f t="shared" si="4"/>
        <v>0.40432090832804535</v>
      </c>
      <c r="G14">
        <f t="shared" ca="1" si="4"/>
        <v>-4.7440780977776518</v>
      </c>
      <c r="J14">
        <f t="shared" si="5"/>
        <v>0</v>
      </c>
      <c r="K14" s="1">
        <f t="shared" ca="1" si="0"/>
        <v>4.0643762410018741E-2</v>
      </c>
      <c r="L14" s="1">
        <f t="shared" ca="1" si="1"/>
        <v>2.991801964264355E-2</v>
      </c>
      <c r="N14" s="30">
        <f t="shared" ca="1" si="2"/>
        <v>453.12683736424509</v>
      </c>
      <c r="O14" s="23">
        <f ca="1">L14*E14*1000/COS(G14*3.14/180)-J14*E14*L2*1000/COS(3.14*G2/180)</f>
        <v>8.7375002867048526</v>
      </c>
      <c r="P14" s="24">
        <f t="shared" si="3"/>
        <v>647.45656224954575</v>
      </c>
    </row>
    <row r="15" spans="1:16">
      <c r="A15">
        <f>'Airfoil Interpolation'!AK17</f>
        <v>1.0866666666666667E-2</v>
      </c>
      <c r="B15">
        <f>'Airfoil Interpolation'!AL17</f>
        <v>1.7446666666666666E-2</v>
      </c>
      <c r="D15">
        <f t="shared" si="4"/>
        <v>0.64745656224954573</v>
      </c>
      <c r="E15">
        <f t="shared" ca="1" si="4"/>
        <v>0.29104855633352572</v>
      </c>
      <c r="F15">
        <f t="shared" si="4"/>
        <v>0.40432090832804535</v>
      </c>
      <c r="G15">
        <f t="shared" ca="1" si="4"/>
        <v>-4.7440780977776518</v>
      </c>
      <c r="J15">
        <f t="shared" si="5"/>
        <v>0</v>
      </c>
      <c r="K15" s="1">
        <f t="shared" ca="1" si="0"/>
        <v>1.2271676106784616E-2</v>
      </c>
      <c r="L15" s="1">
        <f t="shared" ca="1" si="1"/>
        <v>1.6545306464103689E-2</v>
      </c>
      <c r="N15" s="30">
        <f t="shared" ca="1" si="2"/>
        <v>444.84082394591115</v>
      </c>
      <c r="O15" s="23">
        <f ca="1">L15*E15*1000/COS(G15*3.14/180)-J15*E15*L2*1000/COS(3.14*G2/180)</f>
        <v>4.8320250371007489</v>
      </c>
      <c r="P15" s="24">
        <f t="shared" si="3"/>
        <v>647.45656224954575</v>
      </c>
    </row>
    <row r="16" spans="1:16">
      <c r="A16">
        <f>'Airfoil Interpolation'!AK18</f>
        <v>1.1799999999999998E-3</v>
      </c>
      <c r="B16">
        <f>'Airfoil Interpolation'!AL18</f>
        <v>6.1066666666666665E-3</v>
      </c>
      <c r="D16">
        <f t="shared" si="4"/>
        <v>0.64745656224954573</v>
      </c>
      <c r="E16">
        <f t="shared" ca="1" si="4"/>
        <v>0.29104855633352572</v>
      </c>
      <c r="F16">
        <f t="shared" si="4"/>
        <v>0.40432090832804535</v>
      </c>
      <c r="G16">
        <f t="shared" ca="1" si="4"/>
        <v>-4.7440780977776518</v>
      </c>
      <c r="J16">
        <f t="shared" si="5"/>
        <v>0</v>
      </c>
      <c r="K16" s="1">
        <f t="shared" ca="1" si="0"/>
        <v>1.680759146763923E-3</v>
      </c>
      <c r="L16" s="1">
        <f t="shared" ca="1" si="1"/>
        <v>6.0087889023392755E-3</v>
      </c>
      <c r="N16" s="30">
        <f t="shared" ca="1" si="2"/>
        <v>441.74776694949321</v>
      </c>
      <c r="O16" s="23">
        <f ca="1">L16*E16*1000/COS(G16*3.14/180)-J16*E16*L2*1000/COS(3.14*G2/180)</f>
        <v>1.7548552806652049</v>
      </c>
      <c r="P16" s="24">
        <f t="shared" si="3"/>
        <v>647.45656224954575</v>
      </c>
    </row>
    <row r="17" spans="1:16">
      <c r="A17">
        <f>'Airfoil Interpolation'!AK19</f>
        <v>8.5333333333333333E-4</v>
      </c>
      <c r="B17">
        <f>'Airfoil Interpolation'!AL19</f>
        <v>-3.7799999999999999E-3</v>
      </c>
      <c r="D17">
        <f t="shared" si="4"/>
        <v>0.64745656224954573</v>
      </c>
      <c r="E17">
        <f t="shared" ca="1" si="4"/>
        <v>0.29104855633352572</v>
      </c>
      <c r="F17">
        <f t="shared" si="4"/>
        <v>0.40432090832804535</v>
      </c>
      <c r="G17">
        <f t="shared" ca="1" si="4"/>
        <v>-4.7440780977776518</v>
      </c>
      <c r="J17">
        <f t="shared" si="5"/>
        <v>0</v>
      </c>
      <c r="K17" s="1">
        <f t="shared" ca="1" si="0"/>
        <v>5.3794527236129819E-4</v>
      </c>
      <c r="L17" s="1">
        <f t="shared" ca="1" si="1"/>
        <v>-3.8507816600785658E-3</v>
      </c>
      <c r="N17" s="30">
        <f t="shared" ca="1" si="2"/>
        <v>441.4140103481368</v>
      </c>
      <c r="O17" s="23">
        <f ca="1">L17*E17*1000/COS(G17*3.14/180)-J17*E17*L2*1000/COS(3.14*G2/180)</f>
        <v>-1.1246134022526262</v>
      </c>
      <c r="P17" s="24">
        <f t="shared" si="3"/>
        <v>647.45656224954575</v>
      </c>
    </row>
    <row r="18" spans="1:16">
      <c r="A18">
        <f>'Airfoil Interpolation'!AK20</f>
        <v>9.7333333333333334E-3</v>
      </c>
      <c r="B18">
        <f>'Airfoil Interpolation'!AL20</f>
        <v>-1.4080000000000001E-2</v>
      </c>
      <c r="D18">
        <f t="shared" si="4"/>
        <v>0.64745656224954573</v>
      </c>
      <c r="E18">
        <f t="shared" ca="1" si="4"/>
        <v>0.29104855633352572</v>
      </c>
      <c r="F18">
        <f t="shared" si="4"/>
        <v>0.40432090832804535</v>
      </c>
      <c r="G18">
        <f t="shared" ca="1" si="4"/>
        <v>-4.7440780977776518</v>
      </c>
      <c r="J18">
        <f t="shared" si="5"/>
        <v>0</v>
      </c>
      <c r="K18" s="1">
        <f t="shared" ca="1" si="0"/>
        <v>8.5361209663054709E-3</v>
      </c>
      <c r="L18" s="1">
        <f t="shared" ca="1" si="1"/>
        <v>-1.4887353310271132E-2</v>
      </c>
      <c r="N18" s="30">
        <f t="shared" ca="1" si="2"/>
        <v>443.74986222782951</v>
      </c>
      <c r="O18" s="23">
        <f ca="1">L18*E18*1000/COS(G18*3.14/180)-J18*E18*L2*1000/COS(3.14*G2/180)</f>
        <v>-4.3478229966586373</v>
      </c>
      <c r="P18" s="24">
        <f t="shared" si="3"/>
        <v>647.45656224954575</v>
      </c>
    </row>
    <row r="19" spans="1:16">
      <c r="A19">
        <f>'Airfoil Interpolation'!AK21</f>
        <v>3.4803333333333332E-2</v>
      </c>
      <c r="B19">
        <f>'Airfoil Interpolation'!AL21</f>
        <v>-2.5656666666666668E-2</v>
      </c>
      <c r="D19">
        <f t="shared" si="4"/>
        <v>0.64745656224954573</v>
      </c>
      <c r="E19">
        <f t="shared" ca="1" si="4"/>
        <v>0.29104855633352572</v>
      </c>
      <c r="F19">
        <f t="shared" si="4"/>
        <v>0.40432090832804535</v>
      </c>
      <c r="G19">
        <f t="shared" ca="1" si="4"/>
        <v>-4.7440780977776518</v>
      </c>
      <c r="J19">
        <f t="shared" si="5"/>
        <v>0</v>
      </c>
      <c r="K19" s="1">
        <f t="shared" ca="1" si="0"/>
        <v>3.2563353244650262E-2</v>
      </c>
      <c r="L19" s="1">
        <f t="shared" ca="1" si="1"/>
        <v>-2.8543507732605326E-2</v>
      </c>
      <c r="N19" s="30">
        <f t="shared" ca="1" si="2"/>
        <v>450.76696935685646</v>
      </c>
      <c r="O19" s="23">
        <f ca="1">L19*E19*1000/COS(G19*3.14/180)-J19*E19*L2*1000/COS(3.14*G2/180)</f>
        <v>-8.3360767181836231</v>
      </c>
      <c r="P19" s="24">
        <f t="shared" si="3"/>
        <v>647.45656224954575</v>
      </c>
    </row>
    <row r="20" spans="1:16">
      <c r="A20">
        <f>'Airfoil Interpolation'!AK22</f>
        <v>9.4946666666666665E-2</v>
      </c>
      <c r="B20">
        <f>'Airfoil Interpolation'!AL22</f>
        <v>-3.9503333333333335E-2</v>
      </c>
      <c r="D20">
        <f t="shared" ref="D20:G31" si="6">D19</f>
        <v>0.64745656224954573</v>
      </c>
      <c r="E20">
        <f t="shared" ca="1" si="6"/>
        <v>0.29104855633352572</v>
      </c>
      <c r="F20">
        <f t="shared" si="6"/>
        <v>0.40432090832804535</v>
      </c>
      <c r="G20">
        <f t="shared" ca="1" si="6"/>
        <v>-4.7440780977776518</v>
      </c>
      <c r="J20">
        <f t="shared" si="5"/>
        <v>0</v>
      </c>
      <c r="K20" s="1">
        <f t="shared" ca="1" si="0"/>
        <v>9.1356235452787829E-2</v>
      </c>
      <c r="L20" s="1">
        <f t="shared" ca="1" si="1"/>
        <v>-4.7378898980512417E-2</v>
      </c>
      <c r="N20" s="30">
        <f t="shared" ca="1" si="2"/>
        <v>467.93731790551516</v>
      </c>
      <c r="O20" s="23">
        <f ca="1">L20*E20*1000/COS(G20*3.14/180)-J20*E20*L2*1000/COS(3.14*G2/180)</f>
        <v>-13.836916626524713</v>
      </c>
      <c r="P20" s="24">
        <f t="shared" si="3"/>
        <v>647.45656224954575</v>
      </c>
    </row>
    <row r="21" spans="1:16">
      <c r="A21">
        <f>'Airfoil Interpolation'!AK23</f>
        <v>0.17599333333333333</v>
      </c>
      <c r="B21">
        <f>'Airfoil Interpolation'!AL23</f>
        <v>-4.7396666666666663E-2</v>
      </c>
      <c r="D21">
        <f t="shared" si="6"/>
        <v>0.64745656224954573</v>
      </c>
      <c r="E21">
        <f t="shared" ca="1" si="6"/>
        <v>0.29104855633352572</v>
      </c>
      <c r="F21">
        <f t="shared" si="6"/>
        <v>0.40432090832804535</v>
      </c>
      <c r="G21">
        <f t="shared" ca="1" si="6"/>
        <v>-4.7440780977776518</v>
      </c>
      <c r="J21">
        <f t="shared" si="5"/>
        <v>0</v>
      </c>
      <c r="K21" s="1">
        <f t="shared" ca="1" si="0"/>
        <v>0.17147303250894674</v>
      </c>
      <c r="L21" s="1">
        <f t="shared" ca="1" si="1"/>
        <v>-6.1994831076151329E-2</v>
      </c>
      <c r="N21" s="30">
        <f t="shared" ca="1" si="2"/>
        <v>491.33527490967094</v>
      </c>
      <c r="O21" s="23">
        <f ca="1">L21*E21*1000/COS(G21*3.14/180)-J21*E21*L2*1000/COS(3.14*G2/180)</f>
        <v>-18.10547157773804</v>
      </c>
      <c r="P21" s="24">
        <f t="shared" si="3"/>
        <v>647.45656224954575</v>
      </c>
    </row>
    <row r="22" spans="1:16">
      <c r="A22">
        <f>'Airfoil Interpolation'!AK24</f>
        <v>0.26095333333333331</v>
      </c>
      <c r="B22">
        <f>'Airfoil Interpolation'!AL24</f>
        <v>-5.0313333333333335E-2</v>
      </c>
      <c r="D22">
        <f t="shared" si="6"/>
        <v>0.64745656224954573</v>
      </c>
      <c r="E22">
        <f t="shared" ca="1" si="6"/>
        <v>0.29104855633352572</v>
      </c>
      <c r="F22">
        <f t="shared" si="6"/>
        <v>0.40432090832804535</v>
      </c>
      <c r="G22">
        <f t="shared" ca="1" si="6"/>
        <v>-4.7440780977776518</v>
      </c>
      <c r="J22">
        <f t="shared" si="5"/>
        <v>0</v>
      </c>
      <c r="K22" s="1">
        <f t="shared" ca="1" si="0"/>
        <v>0.25590115767323923</v>
      </c>
      <c r="L22" s="1">
        <f t="shared" ca="1" si="1"/>
        <v>-7.195869677439011E-2</v>
      </c>
      <c r="N22" s="30">
        <f t="shared" ca="1" si="2"/>
        <v>515.99234702341118</v>
      </c>
      <c r="O22" s="23">
        <f ca="1">L22*E22*1000/COS(G22*3.14/180)-J22*E22*L2*1000/COS(3.14*G2/180)</f>
        <v>-21.01539945514876</v>
      </c>
      <c r="P22" s="24">
        <f t="shared" si="3"/>
        <v>647.45656224954575</v>
      </c>
    </row>
    <row r="23" spans="1:16">
      <c r="A23">
        <f>'Airfoil Interpolation'!AK25</f>
        <v>0.34708</v>
      </c>
      <c r="B23">
        <f>'Airfoil Interpolation'!AL25</f>
        <v>-5.0216666666666666E-2</v>
      </c>
      <c r="D23">
        <f t="shared" si="6"/>
        <v>0.64745656224954573</v>
      </c>
      <c r="E23">
        <f t="shared" ca="1" si="6"/>
        <v>0.29104855633352572</v>
      </c>
      <c r="F23">
        <f t="shared" si="6"/>
        <v>0.40432090832804535</v>
      </c>
      <c r="G23">
        <f t="shared" ca="1" si="6"/>
        <v>-4.7440780977776518</v>
      </c>
      <c r="J23">
        <f t="shared" si="5"/>
        <v>0</v>
      </c>
      <c r="K23" s="1">
        <f t="shared" ca="1" si="0"/>
        <v>0.34174104891639112</v>
      </c>
      <c r="L23" s="1">
        <f t="shared" ca="1" si="1"/>
        <v>-7.9006000940184229E-2</v>
      </c>
      <c r="N23" s="30">
        <f t="shared" ca="1" si="2"/>
        <v>541.06172271426431</v>
      </c>
      <c r="O23" s="23">
        <f ca="1">L23*E23*1000/COS(G23*3.14/180)-J23*E23*L2*1000/COS(3.14*G2/180)</f>
        <v>-23.073551127773356</v>
      </c>
      <c r="P23" s="24">
        <f t="shared" si="3"/>
        <v>647.45656224954575</v>
      </c>
    </row>
    <row r="24" spans="1:16">
      <c r="A24">
        <f>'Airfoil Interpolation'!AK26</f>
        <v>0.43378</v>
      </c>
      <c r="B24">
        <f>'Airfoil Interpolation'!AL26</f>
        <v>-4.7766666666666666E-2</v>
      </c>
      <c r="D24">
        <f t="shared" si="6"/>
        <v>0.64745656224954573</v>
      </c>
      <c r="E24">
        <f t="shared" ca="1" si="6"/>
        <v>0.29104855633352572</v>
      </c>
      <c r="F24">
        <f t="shared" si="6"/>
        <v>0.40432090832804535</v>
      </c>
      <c r="G24">
        <f t="shared" ca="1" si="6"/>
        <v>-4.7440780977776518</v>
      </c>
      <c r="J24">
        <f t="shared" si="5"/>
        <v>0</v>
      </c>
      <c r="K24" s="1">
        <f t="shared" ca="1" si="0"/>
        <v>0.4283468457462889</v>
      </c>
      <c r="L24" s="1">
        <f t="shared" ca="1" si="1"/>
        <v>-8.3747528200510318E-2</v>
      </c>
      <c r="N24" s="30">
        <f t="shared" ca="1" si="2"/>
        <v>566.35477966356007</v>
      </c>
      <c r="O24" s="23">
        <f ca="1">L24*E24*1000/COS(G24*3.14/180)-J24*E24*L2*1000/COS(3.14*G2/180)</f>
        <v>-24.458305075105731</v>
      </c>
      <c r="P24" s="24">
        <f t="shared" si="3"/>
        <v>647.45656224954575</v>
      </c>
    </row>
    <row r="25" spans="1:16">
      <c r="A25">
        <f>'Airfoil Interpolation'!AK27</f>
        <v>0.52090666666666674</v>
      </c>
      <c r="B25">
        <f>'Airfoil Interpolation'!AL27</f>
        <v>-4.3529999999999999E-2</v>
      </c>
      <c r="D25">
        <f t="shared" si="6"/>
        <v>0.64745656224954573</v>
      </c>
      <c r="E25">
        <f t="shared" ca="1" si="6"/>
        <v>0.29104855633352572</v>
      </c>
      <c r="F25">
        <f t="shared" si="6"/>
        <v>0.40432090832804535</v>
      </c>
      <c r="G25">
        <f t="shared" ca="1" si="6"/>
        <v>-4.7440780977776518</v>
      </c>
      <c r="J25">
        <f t="shared" si="5"/>
        <v>0</v>
      </c>
      <c r="K25" s="1">
        <f t="shared" ca="1" si="0"/>
        <v>0.5155255408809083</v>
      </c>
      <c r="L25" s="1">
        <f t="shared" ca="1" si="1"/>
        <v>-8.6737779624209005E-2</v>
      </c>
      <c r="N25" s="30">
        <f t="shared" ca="1" si="2"/>
        <v>591.81515046455957</v>
      </c>
      <c r="O25" s="23">
        <f ca="1">L25*E25*1000/COS(G25*3.14/180)-J25*E25*L2*1000/COS(3.14*G2/180)</f>
        <v>-25.331602271376248</v>
      </c>
      <c r="P25" s="24">
        <f t="shared" si="3"/>
        <v>647.45656224954575</v>
      </c>
    </row>
    <row r="26" spans="1:16">
      <c r="A26">
        <f>'Airfoil Interpolation'!AK28</f>
        <v>0.60821000000000003</v>
      </c>
      <c r="B26">
        <f>'Airfoil Interpolation'!AL28</f>
        <v>-3.7926666666666671E-2</v>
      </c>
      <c r="D26">
        <f t="shared" si="6"/>
        <v>0.64745656224954573</v>
      </c>
      <c r="E26">
        <f t="shared" ca="1" si="6"/>
        <v>0.29104855633352572</v>
      </c>
      <c r="F26">
        <f t="shared" si="6"/>
        <v>0.40432090832804535</v>
      </c>
      <c r="G26">
        <f t="shared" ca="1" si="6"/>
        <v>-4.7440780977776518</v>
      </c>
      <c r="J26">
        <f t="shared" si="5"/>
        <v>0</v>
      </c>
      <c r="K26" s="1">
        <f t="shared" ca="1" si="0"/>
        <v>0.60299327132185709</v>
      </c>
      <c r="L26" s="1">
        <f t="shared" ca="1" si="1"/>
        <v>-8.837601839680416E-2</v>
      </c>
      <c r="N26" s="30">
        <f t="shared" ca="1" si="2"/>
        <v>617.35993347272006</v>
      </c>
      <c r="O26" s="23">
        <f ca="1">L26*E26*1000/COS(G26*3.14/180)-J26*E26*L2*1000/COS(3.14*G2/180)</f>
        <v>-25.810046764568519</v>
      </c>
      <c r="P26" s="24">
        <f t="shared" si="3"/>
        <v>647.45656224954575</v>
      </c>
    </row>
    <row r="27" spans="1:16">
      <c r="A27">
        <f>'Airfoil Interpolation'!AK29</f>
        <v>0.69556000000000007</v>
      </c>
      <c r="B27">
        <f>'Airfoil Interpolation'!AL29</f>
        <v>-3.116E-2</v>
      </c>
      <c r="D27">
        <f t="shared" si="6"/>
        <v>0.64745656224954573</v>
      </c>
      <c r="E27">
        <f t="shared" ca="1" si="6"/>
        <v>0.29104855633352572</v>
      </c>
      <c r="F27">
        <f t="shared" si="6"/>
        <v>0.40432090832804535</v>
      </c>
      <c r="G27">
        <f t="shared" ca="1" si="6"/>
        <v>-4.7440780977776518</v>
      </c>
      <c r="J27">
        <f t="shared" si="5"/>
        <v>0</v>
      </c>
      <c r="K27" s="1">
        <f t="shared" ca="1" si="0"/>
        <v>0.69060367377146015</v>
      </c>
      <c r="L27" s="1">
        <f t="shared" ca="1" si="1"/>
        <v>-8.8854794708101537E-2</v>
      </c>
      <c r="N27" s="30">
        <f t="shared" ca="1" si="2"/>
        <v>642.94638356751966</v>
      </c>
      <c r="O27" s="23">
        <f ca="1">L27*E27*1000/COS(G27*3.14/180)-J27*E27*L2*1000/COS(3.14*G2/180)</f>
        <v>-25.949872468515373</v>
      </c>
      <c r="P27" s="24">
        <f t="shared" si="3"/>
        <v>647.45656224954575</v>
      </c>
    </row>
    <row r="28" spans="1:16">
      <c r="A28">
        <f>'Airfoil Interpolation'!AK30</f>
        <v>0.78288333333333338</v>
      </c>
      <c r="B28">
        <f>'Airfoil Interpolation'!AL30</f>
        <v>-2.3476666666666667E-2</v>
      </c>
      <c r="D28">
        <f t="shared" si="6"/>
        <v>0.64745656224954573</v>
      </c>
      <c r="E28">
        <f t="shared" ca="1" si="6"/>
        <v>0.29104855633352572</v>
      </c>
      <c r="F28">
        <f t="shared" si="6"/>
        <v>0.40432090832804535</v>
      </c>
      <c r="G28">
        <f t="shared" ca="1" si="6"/>
        <v>-4.7440780977776518</v>
      </c>
      <c r="J28">
        <f t="shared" si="5"/>
        <v>0</v>
      </c>
      <c r="K28" s="1">
        <f t="shared" ca="1" si="0"/>
        <v>0.77826327557905328</v>
      </c>
      <c r="L28" s="1">
        <f t="shared" ca="1" si="1"/>
        <v>-8.8414692425854799E-2</v>
      </c>
      <c r="N28" s="30">
        <f t="shared" ca="1" si="2"/>
        <v>668.54720224050993</v>
      </c>
      <c r="O28" s="23">
        <f ca="1">L28*E28*1000/COS(G28*3.14/180)-J28*E28*L2*1000/COS(3.14*G2/180)</f>
        <v>-25.821341440618415</v>
      </c>
      <c r="P28" s="24">
        <f t="shared" si="3"/>
        <v>647.45656224954575</v>
      </c>
    </row>
    <row r="29" spans="1:16">
      <c r="A29">
        <f>'Airfoil Interpolation'!AK31</f>
        <v>0.87012333333333325</v>
      </c>
      <c r="B29">
        <f>'Airfoil Interpolation'!AL31</f>
        <v>-1.486E-2</v>
      </c>
      <c r="D29">
        <f t="shared" si="6"/>
        <v>0.64745656224954573</v>
      </c>
      <c r="E29">
        <f t="shared" ca="1" si="6"/>
        <v>0.29104855633352572</v>
      </c>
      <c r="F29">
        <f t="shared" si="6"/>
        <v>0.40432090832804535</v>
      </c>
      <c r="G29">
        <f t="shared" ca="1" si="6"/>
        <v>-4.7440780977776518</v>
      </c>
      <c r="J29">
        <f t="shared" si="5"/>
        <v>0</v>
      </c>
      <c r="K29" s="1">
        <f t="shared" ca="1" si="0"/>
        <v>0.86591698174100851</v>
      </c>
      <c r="L29" s="1">
        <f t="shared" ca="1" si="1"/>
        <v>-8.7034344538782643E-2</v>
      </c>
      <c r="N29" s="30">
        <f t="shared" ca="1" si="2"/>
        <v>694.14629910149301</v>
      </c>
      <c r="O29" s="23">
        <f ca="1">L29*E29*1000/COS(G29*3.14/180)-J29*E29*L2*1000/COS(3.14*G2/180)</f>
        <v>-25.418213486191426</v>
      </c>
      <c r="P29" s="24">
        <f t="shared" si="3"/>
        <v>647.45656224954575</v>
      </c>
    </row>
    <row r="30" spans="1:16">
      <c r="A30">
        <f>'Airfoil Interpolation'!AK32</f>
        <v>0.95589666666666673</v>
      </c>
      <c r="B30">
        <f>'Airfoil Interpolation'!AL32</f>
        <v>-5.6100000000000004E-3</v>
      </c>
      <c r="D30">
        <f t="shared" si="6"/>
        <v>0.64745656224954573</v>
      </c>
      <c r="E30">
        <f t="shared" ca="1" si="6"/>
        <v>0.29104855633352572</v>
      </c>
      <c r="F30">
        <f t="shared" si="6"/>
        <v>0.40432090832804535</v>
      </c>
      <c r="G30">
        <f t="shared" ca="1" si="6"/>
        <v>-4.7440780977776518</v>
      </c>
      <c r="J30">
        <f t="shared" si="5"/>
        <v>0</v>
      </c>
      <c r="K30" s="1">
        <f t="shared" ca="1" si="0"/>
        <v>0.9521613943334386</v>
      </c>
      <c r="L30" s="1">
        <f t="shared" ca="1" si="1"/>
        <v>-8.4899007340117169E-2</v>
      </c>
      <c r="N30" s="30">
        <f t="shared" ca="1" si="2"/>
        <v>719.33381447697479</v>
      </c>
      <c r="O30" s="23">
        <f ca="1">L30*E30*1000/COS(G30*3.14/180)-J30*E30*L2*1000/COS(3.14*G2/180)</f>
        <v>-24.79459235055457</v>
      </c>
      <c r="P30" s="24">
        <f t="shared" si="3"/>
        <v>647.45656224954575</v>
      </c>
    </row>
    <row r="31" spans="1:16" ht="15" thickBot="1">
      <c r="A31">
        <f>'Airfoil Interpolation'!AK33</f>
        <v>1</v>
      </c>
      <c r="B31">
        <f>'Airfoil Interpolation'!AL33</f>
        <v>-6.5333333333333346E-4</v>
      </c>
      <c r="D31">
        <f t="shared" si="6"/>
        <v>0.64745656224954573</v>
      </c>
      <c r="E31">
        <f t="shared" ca="1" si="6"/>
        <v>0.29104855633352572</v>
      </c>
      <c r="F31">
        <f t="shared" si="6"/>
        <v>0.40432090832804535</v>
      </c>
      <c r="G31">
        <f t="shared" ca="1" si="6"/>
        <v>-4.7440780977776518</v>
      </c>
      <c r="J31">
        <f t="shared" si="5"/>
        <v>0</v>
      </c>
      <c r="K31" s="1">
        <f t="shared" ca="1" si="0"/>
        <v>0.99652351997257171</v>
      </c>
      <c r="L31" s="1">
        <f t="shared" ca="1" si="1"/>
        <v>-8.3600591237901645E-2</v>
      </c>
      <c r="N31" s="31">
        <f t="shared" ca="1" si="2"/>
        <v>732.28968823201035</v>
      </c>
      <c r="O31" s="32">
        <f ca="1">L31*E31*1000/COS(G31*3.14/180)-J31*E31*L2*1000/COS(3.14*G2/180)</f>
        <v>-24.415392416839712</v>
      </c>
      <c r="P31" s="33">
        <f t="shared" si="3"/>
        <v>647.45656224954575</v>
      </c>
    </row>
  </sheetData>
  <pageMargins left="0.7" right="0.7" top="0.75" bottom="0.75" header="0.3" footer="0.3"/>
  <drawing r:id="rId1"/>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opLeftCell="A21" workbookViewId="0">
      <selection activeCell="W30" sqref="W30"/>
    </sheetView>
  </sheetViews>
  <sheetFormatPr baseColWidth="10" defaultColWidth="8.83203125" defaultRowHeight="14" x14ac:dyDescent="0"/>
  <sheetData>
    <row r="1" spans="1:16" ht="15" thickBot="1">
      <c r="A1">
        <v>10</v>
      </c>
      <c r="D1" t="s">
        <v>0</v>
      </c>
      <c r="E1" t="s">
        <v>1</v>
      </c>
      <c r="F1" t="s">
        <v>2</v>
      </c>
      <c r="G1" t="s">
        <v>5</v>
      </c>
      <c r="J1" t="s">
        <v>10</v>
      </c>
      <c r="K1" t="s">
        <v>9</v>
      </c>
      <c r="N1" s="6" t="s">
        <v>6</v>
      </c>
      <c r="O1" s="6" t="s">
        <v>7</v>
      </c>
      <c r="P1" s="6" t="s">
        <v>8</v>
      </c>
    </row>
    <row r="2" spans="1:16">
      <c r="A2">
        <f>'Airfoil Interpolation'!AO4</f>
        <v>1</v>
      </c>
      <c r="B2">
        <f>'Airfoil Interpolation'!AP4</f>
        <v>8.2249999999999988E-4</v>
      </c>
      <c r="D2" s="4">
        <f>'Loft Viewer'!K5</f>
        <v>0.72838863253073893</v>
      </c>
      <c r="E2" s="4">
        <f ca="1">'Loft Viewer'!K6</f>
        <v>0.25163573099669406</v>
      </c>
      <c r="F2" s="4">
        <f>'Loft Viewer'!K7</f>
        <v>0.45486102186905103</v>
      </c>
      <c r="G2" s="4">
        <f ca="1">-'Loft Viewer'!K8</f>
        <v>-3.1364771353033585</v>
      </c>
      <c r="J2">
        <f>'Loft Viewer'!B2</f>
        <v>0</v>
      </c>
      <c r="K2" s="1">
        <f ca="1">((A2)*COS(3.14*G2/180)-B2*SIN(3.14*G2/180))</f>
        <v>0.99854853683910039</v>
      </c>
      <c r="L2" s="1">
        <f ca="1">((A2)*SIN(3.14*G2/180)+B2*COS(3.14*G2/180))/COS(3.14*G2/180)</f>
        <v>-5.3946264572990156E-2</v>
      </c>
      <c r="N2" s="27">
        <f ca="1">K2*E2*1000/COS(G2*3.14/180)+F2*1000</f>
        <v>748.06108402953771</v>
      </c>
      <c r="O2" s="28">
        <f ca="1">L2*E2*1000/COS(G2*3.14/180)-J2*E2*L2*1000/COS(3.14*G2/180)</f>
        <v>-13.595152091348968</v>
      </c>
      <c r="P2" s="29">
        <f>D2*1000</f>
        <v>728.38863253073896</v>
      </c>
    </row>
    <row r="3" spans="1:16">
      <c r="A3">
        <f>'Airfoil Interpolation'!AO5</f>
        <v>0.95647749999999998</v>
      </c>
      <c r="B3">
        <f>'Airfoil Interpolation'!AP5</f>
        <v>5.7600000000000004E-3</v>
      </c>
      <c r="D3">
        <f>D2</f>
        <v>0.72838863253073893</v>
      </c>
      <c r="E3">
        <f ca="1">E2</f>
        <v>0.25163573099669406</v>
      </c>
      <c r="F3">
        <f>F2</f>
        <v>0.45486102186905103</v>
      </c>
      <c r="G3">
        <f ca="1">G2</f>
        <v>-3.1364771353033585</v>
      </c>
      <c r="J3">
        <f>J2</f>
        <v>0</v>
      </c>
      <c r="K3" s="1">
        <f t="shared" ref="K3:K31" ca="1" si="0">((A3)*COS(3.14*G3/180)-B3*SIN(3.14*G3/180))</f>
        <v>0.95536118188792418</v>
      </c>
      <c r="L3" s="1">
        <f t="shared" ref="L3:L31" ca="1" si="1">((A3)*SIN(3.14*G3/180)+B3*COS(3.14*G3/180))/COS(3.14*G3/180)</f>
        <v>-4.6625091016862193E-2</v>
      </c>
      <c r="N3" s="30">
        <f t="shared" ref="N3:N31" ca="1" si="2">K3*E3*1000/COS(G3*3.14/180)+F3*1000</f>
        <v>737.17731545664788</v>
      </c>
      <c r="O3" s="23">
        <f ca="1">L3*E3*1000/COS(G3*3.14/180)-J3*E3*L2*1000/COS(3.14*G2/180)</f>
        <v>-11.750122249698805</v>
      </c>
      <c r="P3" s="24">
        <f t="shared" ref="P3:P31" si="3">D3*1000</f>
        <v>728.38863253073896</v>
      </c>
    </row>
    <row r="4" spans="1:16">
      <c r="A4">
        <f>'Airfoil Interpolation'!AO6</f>
        <v>0.87070249999999993</v>
      </c>
      <c r="B4">
        <f>'Airfoil Interpolation'!AP6</f>
        <v>1.5235E-2</v>
      </c>
      <c r="D4">
        <f t="shared" ref="D4:G19" si="4">D3</f>
        <v>0.72838863253073893</v>
      </c>
      <c r="E4">
        <f t="shared" ca="1" si="4"/>
        <v>0.25163573099669406</v>
      </c>
      <c r="F4">
        <f t="shared" si="4"/>
        <v>0.45486102186905103</v>
      </c>
      <c r="G4">
        <f t="shared" ca="1" si="4"/>
        <v>-3.1364771353033585</v>
      </c>
      <c r="J4">
        <f t="shared" ref="J4:J31" si="5">J3</f>
        <v>0</v>
      </c>
      <c r="K4" s="1">
        <f t="shared" ca="1" si="0"/>
        <v>0.87023269678039261</v>
      </c>
      <c r="L4" s="1">
        <f t="shared" ca="1" si="1"/>
        <v>-3.2452300235613955E-2</v>
      </c>
      <c r="N4" s="30">
        <f t="shared" ca="1" si="2"/>
        <v>715.72384297799022</v>
      </c>
      <c r="O4" s="23">
        <f ca="1">L4*E4*1000/COS(G4*3.14/180)-J4*E4*L2*1000/COS(3.14*G2/180)</f>
        <v>-8.1783967974344023</v>
      </c>
      <c r="P4" s="24">
        <f t="shared" si="3"/>
        <v>728.38863253073896</v>
      </c>
    </row>
    <row r="5" spans="1:16">
      <c r="A5">
        <f>'Airfoil Interpolation'!AO7</f>
        <v>0.78346000000000005</v>
      </c>
      <c r="B5">
        <f>'Airfoil Interpolation'!AP7</f>
        <v>2.46375E-2</v>
      </c>
      <c r="D5">
        <f t="shared" si="4"/>
        <v>0.72838863253073893</v>
      </c>
      <c r="E5">
        <f t="shared" ca="1" si="4"/>
        <v>0.25163573099669406</v>
      </c>
      <c r="F5">
        <f t="shared" si="4"/>
        <v>0.45486102186905103</v>
      </c>
      <c r="G5">
        <f t="shared" ca="1" si="4"/>
        <v>-3.1364771353033585</v>
      </c>
      <c r="J5">
        <f t="shared" si="5"/>
        <v>0</v>
      </c>
      <c r="K5" s="1">
        <f t="shared" ca="1" si="0"/>
        <v>0.78363494290959834</v>
      </c>
      <c r="L5" s="1">
        <f t="shared" ca="1" si="1"/>
        <v>-1.8271636292354867E-2</v>
      </c>
      <c r="N5" s="30">
        <f t="shared" ca="1" si="2"/>
        <v>693.90009588518205</v>
      </c>
      <c r="O5" s="23">
        <f ca="1">L5*E5*1000/COS(G5*3.14/180)-J5*E5*L2*1000/COS(3.14*G2/180)</f>
        <v>-4.6046872071425655</v>
      </c>
      <c r="P5" s="24">
        <f t="shared" si="3"/>
        <v>728.38863253073896</v>
      </c>
    </row>
    <row r="6" spans="1:16">
      <c r="A6">
        <f>'Airfoil Interpolation'!AO8</f>
        <v>0.69616250000000002</v>
      </c>
      <c r="B6">
        <f>'Airfoil Interpolation'!AP8</f>
        <v>3.3802499999999999E-2</v>
      </c>
      <c r="D6">
        <f t="shared" si="4"/>
        <v>0.72838863253073893</v>
      </c>
      <c r="E6">
        <f t="shared" ca="1" si="4"/>
        <v>0.25163573099669406</v>
      </c>
      <c r="F6">
        <f t="shared" si="4"/>
        <v>0.45486102186905103</v>
      </c>
      <c r="G6">
        <f t="shared" ca="1" si="4"/>
        <v>-3.1364771353033585</v>
      </c>
      <c r="J6">
        <f t="shared" si="5"/>
        <v>0</v>
      </c>
      <c r="K6" s="1">
        <f t="shared" ca="1" si="0"/>
        <v>0.69696928322669116</v>
      </c>
      <c r="L6" s="1">
        <f t="shared" ca="1" si="1"/>
        <v>-4.3254600670442579E-3</v>
      </c>
      <c r="N6" s="30">
        <f t="shared" ca="1" si="2"/>
        <v>672.05923565486819</v>
      </c>
      <c r="O6" s="23">
        <f ca="1">L6*E6*1000/COS(G6*3.14/180)-J6*E6*L2*1000/COS(3.14*G2/180)</f>
        <v>-1.0900715358513602</v>
      </c>
      <c r="P6" s="24">
        <f t="shared" si="3"/>
        <v>728.38863253073896</v>
      </c>
    </row>
    <row r="7" spans="1:16">
      <c r="A7">
        <f>'Airfoil Interpolation'!AO9</f>
        <v>0.60893249999999999</v>
      </c>
      <c r="B7">
        <f>'Airfoil Interpolation'!AP9</f>
        <v>4.2695000000000004E-2</v>
      </c>
      <c r="D7">
        <f t="shared" si="4"/>
        <v>0.72838863253073893</v>
      </c>
      <c r="E7">
        <f t="shared" ca="1" si="4"/>
        <v>0.25163573099669406</v>
      </c>
      <c r="F7">
        <f t="shared" si="4"/>
        <v>0.45486102186905103</v>
      </c>
      <c r="G7">
        <f t="shared" ca="1" si="4"/>
        <v>-3.1364771353033585</v>
      </c>
      <c r="J7">
        <f t="shared" si="5"/>
        <v>0</v>
      </c>
      <c r="K7" s="1">
        <f t="shared" ca="1" si="0"/>
        <v>0.61035612037917841</v>
      </c>
      <c r="L7" s="1">
        <f t="shared" ca="1" si="1"/>
        <v>9.3445192666576672E-3</v>
      </c>
      <c r="N7" s="30">
        <f t="shared" ca="1" si="2"/>
        <v>650.2316053018618</v>
      </c>
      <c r="O7" s="23">
        <f ca="1">L7*E7*1000/COS(G7*3.14/180)-J7*E7*L2*1000/COS(3.14*G2/180)</f>
        <v>2.3549389685520179</v>
      </c>
      <c r="P7" s="24">
        <f t="shared" si="3"/>
        <v>728.38863253073896</v>
      </c>
    </row>
    <row r="8" spans="1:16">
      <c r="A8">
        <f>'Airfoil Interpolation'!AO10</f>
        <v>0.52184249999999999</v>
      </c>
      <c r="B8">
        <f>'Airfoil Interpolation'!AP10</f>
        <v>5.083E-2</v>
      </c>
      <c r="D8">
        <f t="shared" si="4"/>
        <v>0.72838863253073893</v>
      </c>
      <c r="E8">
        <f t="shared" ca="1" si="4"/>
        <v>0.25163573099669406</v>
      </c>
      <c r="F8">
        <f t="shared" si="4"/>
        <v>0.45486102186905103</v>
      </c>
      <c r="G8">
        <f t="shared" ca="1" si="4"/>
        <v>-3.1364771353033585</v>
      </c>
      <c r="J8">
        <f t="shared" si="5"/>
        <v>0</v>
      </c>
      <c r="K8" s="1">
        <f t="shared" ca="1" si="0"/>
        <v>0.52384132277391415</v>
      </c>
      <c r="L8" s="1">
        <f t="shared" ca="1" si="1"/>
        <v>2.2249330973319385E-2</v>
      </c>
      <c r="N8" s="30">
        <f t="shared" ca="1" si="2"/>
        <v>628.42876425427733</v>
      </c>
      <c r="O8" s="23">
        <f ca="1">L8*E8*1000/COS(G8*3.14/180)-J8*E8*L2*1000/COS(3.14*G2/180)</f>
        <v>5.6071173955663616</v>
      </c>
      <c r="P8" s="24">
        <f t="shared" si="3"/>
        <v>728.38863253073896</v>
      </c>
    </row>
    <row r="9" spans="1:16">
      <c r="A9">
        <f>'Airfoil Interpolation'!AO11</f>
        <v>0.4350425</v>
      </c>
      <c r="B9">
        <f>'Airfoil Interpolation'!AP11</f>
        <v>5.7224999999999998E-2</v>
      </c>
      <c r="D9">
        <f t="shared" si="4"/>
        <v>0.72838863253073893</v>
      </c>
      <c r="E9">
        <f t="shared" ca="1" si="4"/>
        <v>0.25163573099669406</v>
      </c>
      <c r="F9">
        <f t="shared" si="4"/>
        <v>0.45486102186905103</v>
      </c>
      <c r="G9">
        <f t="shared" ca="1" si="4"/>
        <v>-3.1364771353033585</v>
      </c>
      <c r="J9">
        <f t="shared" si="5"/>
        <v>0</v>
      </c>
      <c r="K9" s="1">
        <f t="shared" ca="1" si="0"/>
        <v>0.43752093615731313</v>
      </c>
      <c r="L9" s="1">
        <f t="shared" ca="1" si="1"/>
        <v>3.3398259738254922E-2</v>
      </c>
      <c r="N9" s="30">
        <f t="shared" ca="1" si="2"/>
        <v>606.67491727477204</v>
      </c>
      <c r="O9" s="23">
        <f ca="1">L9*E9*1000/COS(G9*3.14/180)-J9*E9*L2*1000/COS(3.14*G2/180)</f>
        <v>8.416790751352389</v>
      </c>
      <c r="P9" s="24">
        <f t="shared" si="3"/>
        <v>728.38863253073896</v>
      </c>
    </row>
    <row r="10" spans="1:16">
      <c r="A10">
        <f>'Airfoil Interpolation'!AO12</f>
        <v>0.34857749999999998</v>
      </c>
      <c r="B10">
        <f>'Airfoil Interpolation'!AP12</f>
        <v>6.123E-2</v>
      </c>
      <c r="D10">
        <f t="shared" si="4"/>
        <v>0.72838863253073893</v>
      </c>
      <c r="E10">
        <f t="shared" ca="1" si="4"/>
        <v>0.25163573099669406</v>
      </c>
      <c r="F10">
        <f t="shared" si="4"/>
        <v>0.45486102186905103</v>
      </c>
      <c r="G10">
        <f t="shared" ca="1" si="4"/>
        <v>-3.1364771353033585</v>
      </c>
      <c r="J10">
        <f t="shared" si="5"/>
        <v>0</v>
      </c>
      <c r="K10" s="1">
        <f t="shared" ca="1" si="0"/>
        <v>0.35140434676538468</v>
      </c>
      <c r="L10" s="1">
        <f t="shared" ca="1" si="1"/>
        <v>4.213884096705852E-2</v>
      </c>
      <c r="N10" s="30">
        <f t="shared" ca="1" si="2"/>
        <v>584.97242981546981</v>
      </c>
      <c r="O10" s="23">
        <f ca="1">L10*E10*1000/COS(G10*3.14/180)-J10*E10*L2*1000/COS(3.14*G2/180)</f>
        <v>10.619529571416502</v>
      </c>
      <c r="P10" s="24">
        <f t="shared" si="3"/>
        <v>728.38863253073896</v>
      </c>
    </row>
    <row r="11" spans="1:16">
      <c r="A11">
        <f>'Airfoil Interpolation'!AO13</f>
        <v>0.26289000000000001</v>
      </c>
      <c r="B11">
        <f>'Airfoil Interpolation'!AP13</f>
        <v>6.1707499999999998E-2</v>
      </c>
      <c r="D11">
        <f t="shared" si="4"/>
        <v>0.72838863253073893</v>
      </c>
      <c r="E11">
        <f t="shared" ca="1" si="4"/>
        <v>0.25163573099669406</v>
      </c>
      <c r="F11">
        <f t="shared" si="4"/>
        <v>0.45486102186905103</v>
      </c>
      <c r="G11">
        <f t="shared" ca="1" si="4"/>
        <v>-3.1364771353033585</v>
      </c>
      <c r="J11">
        <f t="shared" si="5"/>
        <v>0</v>
      </c>
      <c r="K11" s="1">
        <f t="shared" ca="1" si="0"/>
        <v>0.26587118617998262</v>
      </c>
      <c r="L11" s="1">
        <f t="shared" ca="1" si="1"/>
        <v>4.7309339481406622E-2</v>
      </c>
      <c r="N11" s="30">
        <f t="shared" ca="1" si="2"/>
        <v>563.41697391473781</v>
      </c>
      <c r="O11" s="23">
        <f ca="1">L11*E11*1000/COS(G11*3.14/180)-J11*E11*L2*1000/COS(3.14*G2/180)</f>
        <v>11.922561658013484</v>
      </c>
      <c r="P11" s="24">
        <f t="shared" si="3"/>
        <v>728.38863253073896</v>
      </c>
    </row>
    <row r="12" spans="1:16">
      <c r="A12">
        <f>'Airfoil Interpolation'!AO14</f>
        <v>0.17847499999999999</v>
      </c>
      <c r="B12">
        <f>'Airfoil Interpolation'!AP14</f>
        <v>5.7880000000000001E-2</v>
      </c>
      <c r="D12">
        <f t="shared" si="4"/>
        <v>0.72838863253073893</v>
      </c>
      <c r="E12">
        <f t="shared" ca="1" si="4"/>
        <v>0.25163573099669406</v>
      </c>
      <c r="F12">
        <f t="shared" si="4"/>
        <v>0.45486102186905103</v>
      </c>
      <c r="G12">
        <f t="shared" ca="1" si="4"/>
        <v>-3.1364771353033585</v>
      </c>
      <c r="J12">
        <f t="shared" si="5"/>
        <v>0</v>
      </c>
      <c r="K12" s="1">
        <f t="shared" ca="1" si="0"/>
        <v>0.1813731946699445</v>
      </c>
      <c r="L12" s="1">
        <f t="shared" ca="1" si="1"/>
        <v>4.8105144742835573E-2</v>
      </c>
      <c r="N12" s="30">
        <f t="shared" ca="1" si="2"/>
        <v>542.12239392693914</v>
      </c>
      <c r="O12" s="23">
        <f ca="1">L12*E12*1000/COS(G12*3.14/180)-J12*E12*L2*1000/COS(3.14*G2/180)</f>
        <v>12.123114813081042</v>
      </c>
      <c r="P12" s="24">
        <f t="shared" si="3"/>
        <v>728.38863253073896</v>
      </c>
    </row>
    <row r="13" spans="1:16">
      <c r="A13">
        <f>'Airfoil Interpolation'!AO15</f>
        <v>9.8360000000000003E-2</v>
      </c>
      <c r="B13">
        <f>'Airfoil Interpolation'!AP15</f>
        <v>4.7542500000000001E-2</v>
      </c>
      <c r="D13">
        <f t="shared" si="4"/>
        <v>0.72838863253073893</v>
      </c>
      <c r="E13">
        <f t="shared" ca="1" si="4"/>
        <v>0.25163573099669406</v>
      </c>
      <c r="F13">
        <f t="shared" si="4"/>
        <v>0.45486102186905103</v>
      </c>
      <c r="G13">
        <f t="shared" ca="1" si="4"/>
        <v>-3.1364771353033585</v>
      </c>
      <c r="J13">
        <f t="shared" si="5"/>
        <v>0</v>
      </c>
      <c r="K13" s="1">
        <f t="shared" ca="1" si="0"/>
        <v>0.10081275734616017</v>
      </c>
      <c r="L13" s="1">
        <f t="shared" ca="1" si="1"/>
        <v>4.2155444316600683E-2</v>
      </c>
      <c r="N13" s="30">
        <f t="shared" ca="1" si="2"/>
        <v>521.82012820693615</v>
      </c>
      <c r="O13" s="23">
        <f ca="1">L13*E13*1000/COS(G13*3.14/180)-J13*E13*L2*1000/COS(3.14*G2/180)</f>
        <v>10.623713828918634</v>
      </c>
      <c r="P13" s="24">
        <f t="shared" si="3"/>
        <v>728.38863253073896</v>
      </c>
    </row>
    <row r="14" spans="1:16">
      <c r="A14">
        <f>'Airfoil Interpolation'!AO16</f>
        <v>3.7427499999999995E-2</v>
      </c>
      <c r="B14">
        <f>'Airfoil Interpolation'!AP16</f>
        <v>3.1192499999999998E-2</v>
      </c>
      <c r="D14">
        <f t="shared" si="4"/>
        <v>0.72838863253073893</v>
      </c>
      <c r="E14">
        <f t="shared" ca="1" si="4"/>
        <v>0.25163573099669406</v>
      </c>
      <c r="F14">
        <f t="shared" si="4"/>
        <v>0.45486102186905103</v>
      </c>
      <c r="G14">
        <f t="shared" ca="1" si="4"/>
        <v>-3.1364771353033585</v>
      </c>
      <c r="J14">
        <f t="shared" si="5"/>
        <v>0</v>
      </c>
      <c r="K14" s="1">
        <f t="shared" ca="1" si="0"/>
        <v>3.9077310080905724E-2</v>
      </c>
      <c r="L14" s="1">
        <f t="shared" ca="1" si="1"/>
        <v>2.9142642063944409E-2</v>
      </c>
      <c r="N14" s="30">
        <f t="shared" ca="1" si="2"/>
        <v>506.2620019558961</v>
      </c>
      <c r="O14" s="23">
        <f ca="1">L14*E14*1000/COS(G14*3.14/180)-J14*E14*L2*1000/COS(3.14*G2/180)</f>
        <v>7.3443203962158528</v>
      </c>
      <c r="P14" s="24">
        <f t="shared" si="3"/>
        <v>728.38863253073896</v>
      </c>
    </row>
    <row r="15" spans="1:16">
      <c r="A15">
        <f>'Airfoil Interpolation'!AO17</f>
        <v>1.08425E-2</v>
      </c>
      <c r="B15">
        <f>'Airfoil Interpolation'!AP17</f>
        <v>1.67625E-2</v>
      </c>
      <c r="D15">
        <f t="shared" si="4"/>
        <v>0.72838863253073893</v>
      </c>
      <c r="E15">
        <f t="shared" ca="1" si="4"/>
        <v>0.25163573099669406</v>
      </c>
      <c r="F15">
        <f t="shared" si="4"/>
        <v>0.45486102186905103</v>
      </c>
      <c r="G15">
        <f t="shared" ca="1" si="4"/>
        <v>-3.1364771353033585</v>
      </c>
      <c r="J15">
        <f t="shared" si="5"/>
        <v>0</v>
      </c>
      <c r="K15" s="1">
        <f t="shared" ca="1" si="0"/>
        <v>1.1742962405653267E-2</v>
      </c>
      <c r="L15" s="1">
        <f t="shared" ca="1" si="1"/>
        <v>1.6168669670117358E-2</v>
      </c>
      <c r="N15" s="30">
        <f t="shared" ca="1" si="2"/>
        <v>499.37339498923455</v>
      </c>
      <c r="O15" s="23">
        <f ca="1">L15*E15*1000/COS(G15*3.14/180)-J15*E15*L2*1000/COS(3.14*G2/180)</f>
        <v>4.0747125870524874</v>
      </c>
      <c r="P15" s="24">
        <f t="shared" si="3"/>
        <v>728.38863253073896</v>
      </c>
    </row>
    <row r="16" spans="1:16">
      <c r="A16">
        <f>'Airfoil Interpolation'!AO18</f>
        <v>1.1649999999999998E-3</v>
      </c>
      <c r="B16">
        <f>'Airfoil Interpolation'!AP18</f>
        <v>5.8049999999999994E-3</v>
      </c>
      <c r="D16">
        <f t="shared" si="4"/>
        <v>0.72838863253073893</v>
      </c>
      <c r="E16">
        <f t="shared" ca="1" si="4"/>
        <v>0.25163573099669406</v>
      </c>
      <c r="F16">
        <f t="shared" si="4"/>
        <v>0.45486102186905103</v>
      </c>
      <c r="G16">
        <f t="shared" ca="1" si="4"/>
        <v>-3.1364771353033585</v>
      </c>
      <c r="J16">
        <f t="shared" si="5"/>
        <v>0</v>
      </c>
      <c r="K16" s="1">
        <f t="shared" ca="1" si="0"/>
        <v>1.4807135540326904E-3</v>
      </c>
      <c r="L16" s="1">
        <f t="shared" ca="1" si="1"/>
        <v>5.7411943892724648E-3</v>
      </c>
      <c r="N16" s="30">
        <f t="shared" ca="1" si="2"/>
        <v>496.78717636888348</v>
      </c>
      <c r="O16" s="23">
        <f ca="1">L16*E16*1000/COS(G16*3.14/180)-J16*E16*L2*1000/COS(3.14*G2/180)</f>
        <v>1.4468547827357419</v>
      </c>
      <c r="P16" s="24">
        <f t="shared" si="3"/>
        <v>728.38863253073896</v>
      </c>
    </row>
    <row r="17" spans="1:16">
      <c r="A17">
        <f>'Airfoil Interpolation'!AO19</f>
        <v>9.1999999999999992E-4</v>
      </c>
      <c r="B17">
        <f>'Airfoil Interpolation'!AP19</f>
        <v>-4.0599999999999994E-3</v>
      </c>
      <c r="D17">
        <f t="shared" si="4"/>
        <v>0.72838863253073893</v>
      </c>
      <c r="E17">
        <f t="shared" ca="1" si="4"/>
        <v>0.25163573099669406</v>
      </c>
      <c r="F17">
        <f t="shared" si="4"/>
        <v>0.45486102186905103</v>
      </c>
      <c r="G17">
        <f t="shared" ca="1" si="4"/>
        <v>-3.1364771353033585</v>
      </c>
      <c r="J17">
        <f t="shared" si="5"/>
        <v>0</v>
      </c>
      <c r="K17" s="1">
        <f t="shared" ca="1" si="0"/>
        <v>6.9659483906999711E-4</v>
      </c>
      <c r="L17" s="1">
        <f t="shared" ca="1" si="1"/>
        <v>-4.1103872634071521E-3</v>
      </c>
      <c r="N17" s="30">
        <f t="shared" ca="1" si="2"/>
        <v>496.58956837374291</v>
      </c>
      <c r="O17" s="23">
        <f ca="1">L17*E17*1000/COS(G17*3.14/180)-J17*E17*L2*1000/COS(3.14*G2/180)</f>
        <v>-1.0358704248142254</v>
      </c>
      <c r="P17" s="24">
        <f t="shared" si="3"/>
        <v>728.38863253073896</v>
      </c>
    </row>
    <row r="18" spans="1:16">
      <c r="A18">
        <f>'Airfoil Interpolation'!AO20</f>
        <v>9.9924999999999996E-3</v>
      </c>
      <c r="B18">
        <f>'Airfoil Interpolation'!AP20</f>
        <v>-1.42375E-2</v>
      </c>
      <c r="D18">
        <f t="shared" si="4"/>
        <v>0.72838863253073893</v>
      </c>
      <c r="E18">
        <f t="shared" ca="1" si="4"/>
        <v>0.25163573099669406</v>
      </c>
      <c r="F18">
        <f t="shared" si="4"/>
        <v>0.45486102186905103</v>
      </c>
      <c r="G18">
        <f t="shared" ca="1" si="4"/>
        <v>-3.1364771353033585</v>
      </c>
      <c r="J18">
        <f t="shared" si="5"/>
        <v>0</v>
      </c>
      <c r="K18" s="1">
        <f t="shared" ca="1" si="0"/>
        <v>9.1989433889562502E-3</v>
      </c>
      <c r="L18" s="1">
        <f t="shared" ca="1" si="1"/>
        <v>-1.4784776879995604E-2</v>
      </c>
      <c r="N18" s="30">
        <f t="shared" ca="1" si="2"/>
        <v>498.73226949650495</v>
      </c>
      <c r="O18" s="23">
        <f ca="1">L18*E18*1000/COS(G18*3.14/180)-J18*E18*L2*1000/COS(3.14*G2/180)</f>
        <v>-3.7259538155462493</v>
      </c>
      <c r="P18" s="24">
        <f t="shared" si="3"/>
        <v>728.38863253073896</v>
      </c>
    </row>
    <row r="19" spans="1:16">
      <c r="A19">
        <f>'Airfoil Interpolation'!AO21</f>
        <v>3.4999999999999996E-2</v>
      </c>
      <c r="B19">
        <f>'Airfoil Interpolation'!AP21</f>
        <v>-2.563E-2</v>
      </c>
      <c r="D19">
        <f t="shared" si="4"/>
        <v>0.72838863253073893</v>
      </c>
      <c r="E19">
        <f t="shared" ca="1" si="4"/>
        <v>0.25163573099669406</v>
      </c>
      <c r="F19">
        <f t="shared" si="4"/>
        <v>0.45486102186905103</v>
      </c>
      <c r="G19">
        <f t="shared" ca="1" si="4"/>
        <v>-3.1364771353033585</v>
      </c>
      <c r="J19">
        <f t="shared" si="5"/>
        <v>0</v>
      </c>
      <c r="K19" s="1">
        <f t="shared" ca="1" si="0"/>
        <v>3.3546001649120881E-2</v>
      </c>
      <c r="L19" s="1">
        <f t="shared" ca="1" si="1"/>
        <v>-2.7546906760054654E-2</v>
      </c>
      <c r="N19" s="30">
        <f t="shared" ca="1" si="2"/>
        <v>504.8680411322967</v>
      </c>
      <c r="O19" s="23">
        <f ca="1">L19*E19*1000/COS(G19*3.14/180)-J19*E19*L2*1000/COS(3.14*G2/180)</f>
        <v>-6.9421745882412615</v>
      </c>
      <c r="P19" s="24">
        <f t="shared" si="3"/>
        <v>728.38863253073896</v>
      </c>
    </row>
    <row r="20" spans="1:16">
      <c r="A20">
        <f>'Airfoil Interpolation'!AO22</f>
        <v>9.4684999999999991E-2</v>
      </c>
      <c r="B20">
        <f>'Airfoil Interpolation'!AP22</f>
        <v>-3.9162500000000003E-2</v>
      </c>
      <c r="D20">
        <f t="shared" ref="D20:G31" si="6">D19</f>
        <v>0.72838863253073893</v>
      </c>
      <c r="E20">
        <f t="shared" ca="1" si="6"/>
        <v>0.25163573099669406</v>
      </c>
      <c r="F20">
        <f t="shared" si="6"/>
        <v>0.45486102186905103</v>
      </c>
      <c r="G20">
        <f t="shared" ca="1" si="6"/>
        <v>-3.1364771353033585</v>
      </c>
      <c r="J20">
        <f t="shared" si="5"/>
        <v>0</v>
      </c>
      <c r="K20" s="1">
        <f t="shared" ca="1" si="0"/>
        <v>9.2401637239762316E-2</v>
      </c>
      <c r="L20" s="1">
        <f t="shared" ca="1" si="1"/>
        <v>-4.4348280473593571E-2</v>
      </c>
      <c r="N20" s="30">
        <f t="shared" ca="1" si="2"/>
        <v>519.70041782457292</v>
      </c>
      <c r="O20" s="23">
        <f ca="1">L20*E20*1000/COS(G20*3.14/180)-J20*E20*L2*1000/COS(3.14*G2/180)</f>
        <v>-11.176336726939523</v>
      </c>
      <c r="P20" s="24">
        <f t="shared" si="3"/>
        <v>728.38863253073896</v>
      </c>
    </row>
    <row r="21" spans="1:16">
      <c r="A21">
        <f>'Airfoil Interpolation'!AO23</f>
        <v>0.17555749999999998</v>
      </c>
      <c r="B21">
        <f>'Airfoil Interpolation'!AP23</f>
        <v>-4.7137499999999999E-2</v>
      </c>
      <c r="D21">
        <f t="shared" si="6"/>
        <v>0.72838863253073893</v>
      </c>
      <c r="E21">
        <f t="shared" ca="1" si="6"/>
        <v>0.25163573099669406</v>
      </c>
      <c r="F21">
        <f t="shared" si="6"/>
        <v>0.45486102186905103</v>
      </c>
      <c r="G21">
        <f t="shared" ca="1" si="6"/>
        <v>-3.1364771353033585</v>
      </c>
      <c r="J21">
        <f t="shared" si="5"/>
        <v>0</v>
      </c>
      <c r="K21" s="1">
        <f t="shared" ca="1" si="0"/>
        <v>0.17271698886874379</v>
      </c>
      <c r="L21" s="1">
        <f t="shared" ca="1" si="1"/>
        <v>-5.675256738652272E-2</v>
      </c>
      <c r="N21" s="30">
        <f t="shared" ca="1" si="2"/>
        <v>539.9409187991829</v>
      </c>
      <c r="O21" s="23">
        <f ca="1">L21*E21*1000/COS(G21*3.14/180)-J21*E21*L2*1000/COS(3.14*G2/180)</f>
        <v>-14.302376472246285</v>
      </c>
      <c r="P21" s="24">
        <f t="shared" si="3"/>
        <v>728.38863253073896</v>
      </c>
    </row>
    <row r="22" spans="1:16">
      <c r="A22">
        <f>'Airfoil Interpolation'!AO24</f>
        <v>0.26047500000000001</v>
      </c>
      <c r="B22">
        <f>'Airfoil Interpolation'!AP24</f>
        <v>-5.0155000000000005E-2</v>
      </c>
      <c r="D22">
        <f t="shared" si="6"/>
        <v>0.72838863253073893</v>
      </c>
      <c r="E22">
        <f t="shared" ca="1" si="6"/>
        <v>0.25163573099669406</v>
      </c>
      <c r="F22">
        <f t="shared" si="6"/>
        <v>0.45486102186905103</v>
      </c>
      <c r="G22">
        <f t="shared" ca="1" si="6"/>
        <v>-3.1364771353033585</v>
      </c>
      <c r="J22">
        <f t="shared" si="5"/>
        <v>0</v>
      </c>
      <c r="K22" s="1">
        <f t="shared" ca="1" si="0"/>
        <v>0.25734239722746349</v>
      </c>
      <c r="L22" s="1">
        <f t="shared" ca="1" si="1"/>
        <v>-6.4420893952149602E-2</v>
      </c>
      <c r="N22" s="30">
        <f t="shared" ca="1" si="2"/>
        <v>561.26760947065043</v>
      </c>
      <c r="O22" s="23">
        <f ca="1">L22*E22*1000/COS(G22*3.14/180)-J22*E22*L2*1000/COS(3.14*G2/180)</f>
        <v>-16.234893334554229</v>
      </c>
      <c r="P22" s="24">
        <f t="shared" si="3"/>
        <v>728.38863253073896</v>
      </c>
    </row>
    <row r="23" spans="1:16">
      <c r="A23">
        <f>'Airfoil Interpolation'!AO25</f>
        <v>0.34665999999999997</v>
      </c>
      <c r="B23">
        <f>'Airfoil Interpolation'!AP25</f>
        <v>-5.0075000000000001E-2</v>
      </c>
      <c r="D23">
        <f t="shared" si="6"/>
        <v>0.72838863253073893</v>
      </c>
      <c r="E23">
        <f t="shared" ca="1" si="6"/>
        <v>0.25163573099669406</v>
      </c>
      <c r="F23">
        <f t="shared" si="6"/>
        <v>0.45486102186905103</v>
      </c>
      <c r="G23">
        <f t="shared" ca="1" si="6"/>
        <v>-3.1364771353033585</v>
      </c>
      <c r="J23">
        <f t="shared" si="5"/>
        <v>0</v>
      </c>
      <c r="K23" s="1">
        <f t="shared" ca="1" si="0"/>
        <v>0.34340280122691996</v>
      </c>
      <c r="L23" s="1">
        <f t="shared" ca="1" si="1"/>
        <v>-6.9061139926872767E-2</v>
      </c>
      <c r="N23" s="30">
        <f t="shared" ca="1" si="2"/>
        <v>582.95593748884914</v>
      </c>
      <c r="O23" s="23">
        <f ca="1">L23*E23*1000/COS(G23*3.14/180)-J23*E23*L2*1000/COS(3.14*G2/180)</f>
        <v>-17.4042949653618</v>
      </c>
      <c r="P23" s="24">
        <f t="shared" si="3"/>
        <v>728.38863253073896</v>
      </c>
    </row>
    <row r="24" spans="1:16">
      <c r="A24">
        <f>'Airfoil Interpolation'!AO26</f>
        <v>0.433475</v>
      </c>
      <c r="B24">
        <f>'Airfoil Interpolation'!AP26</f>
        <v>-4.7629999999999999E-2</v>
      </c>
      <c r="D24">
        <f t="shared" si="6"/>
        <v>0.72838863253073893</v>
      </c>
      <c r="E24">
        <f t="shared" ca="1" si="6"/>
        <v>0.25163573099669406</v>
      </c>
      <c r="F24">
        <f t="shared" si="6"/>
        <v>0.45486102186905103</v>
      </c>
      <c r="G24">
        <f t="shared" ca="1" si="6"/>
        <v>-3.1364771353033585</v>
      </c>
      <c r="J24">
        <f t="shared" si="5"/>
        <v>0</v>
      </c>
      <c r="K24" s="1">
        <f t="shared" ca="1" si="0"/>
        <v>0.43022159676399596</v>
      </c>
      <c r="L24" s="1">
        <f t="shared" ca="1" si="1"/>
        <v>-7.1370890223276903E-2</v>
      </c>
      <c r="N24" s="30">
        <f t="shared" ca="1" si="2"/>
        <v>604.83538992280398</v>
      </c>
      <c r="O24" s="23">
        <f ca="1">L24*E24*1000/COS(G24*3.14/180)-J24*E24*L2*1000/COS(3.14*G2/180)</f>
        <v>-17.986381729314953</v>
      </c>
      <c r="P24" s="24">
        <f t="shared" si="3"/>
        <v>728.38863253073896</v>
      </c>
    </row>
    <row r="25" spans="1:16">
      <c r="A25">
        <f>'Airfoil Interpolation'!AO27</f>
        <v>0.52072750000000001</v>
      </c>
      <c r="B25">
        <f>'Airfoil Interpolation'!AP27</f>
        <v>-4.3402500000000004E-2</v>
      </c>
      <c r="D25">
        <f t="shared" si="6"/>
        <v>0.72838863253073893</v>
      </c>
      <c r="E25">
        <f t="shared" ca="1" si="6"/>
        <v>0.25163573099669406</v>
      </c>
      <c r="F25">
        <f t="shared" si="6"/>
        <v>0.45486102186905103</v>
      </c>
      <c r="G25">
        <f t="shared" ca="1" si="6"/>
        <v>-3.1364771353033585</v>
      </c>
      <c r="J25">
        <f t="shared" si="5"/>
        <v>0</v>
      </c>
      <c r="K25" s="1">
        <f t="shared" ca="1" si="0"/>
        <v>0.51757471683934819</v>
      </c>
      <c r="L25" s="1">
        <f t="shared" ca="1" si="1"/>
        <v>-7.1922101854181741E-2</v>
      </c>
      <c r="N25" s="30">
        <f t="shared" ca="1" si="2"/>
        <v>626.84949900854917</v>
      </c>
      <c r="O25" s="23">
        <f ca="1">L25*E25*1000/COS(G25*3.14/180)-J25*E25*L2*1000/COS(3.14*G2/180)</f>
        <v>-18.125294145512605</v>
      </c>
      <c r="P25" s="24">
        <f t="shared" si="3"/>
        <v>728.38863253073896</v>
      </c>
    </row>
    <row r="26" spans="1:16">
      <c r="A26">
        <f>'Airfoil Interpolation'!AO28</f>
        <v>0.60818000000000005</v>
      </c>
      <c r="B26">
        <f>'Airfoil Interpolation'!AP28</f>
        <v>-3.7812499999999999E-2</v>
      </c>
      <c r="D26">
        <f t="shared" si="6"/>
        <v>0.72838863253073893</v>
      </c>
      <c r="E26">
        <f t="shared" ca="1" si="6"/>
        <v>0.25163573099669406</v>
      </c>
      <c r="F26">
        <f t="shared" si="6"/>
        <v>0.45486102186905103</v>
      </c>
      <c r="G26">
        <f t="shared" ca="1" si="6"/>
        <v>-3.1364771353033585</v>
      </c>
      <c r="J26">
        <f t="shared" si="5"/>
        <v>0</v>
      </c>
      <c r="K26" s="1">
        <f t="shared" ca="1" si="0"/>
        <v>0.60520204839958447</v>
      </c>
      <c r="L26" s="1">
        <f t="shared" ca="1" si="1"/>
        <v>-7.1121767238001163E-2</v>
      </c>
      <c r="N26" s="30">
        <f t="shared" ca="1" si="2"/>
        <v>648.93271291316762</v>
      </c>
      <c r="O26" s="23">
        <f ca="1">L26*E26*1000/COS(G26*3.14/180)-J26*E26*L2*1000/COS(3.14*G2/180)</f>
        <v>-17.923599534827844</v>
      </c>
      <c r="P26" s="24">
        <f t="shared" si="3"/>
        <v>728.38863253073896</v>
      </c>
    </row>
    <row r="27" spans="1:16">
      <c r="A27">
        <f>'Airfoil Interpolation'!AO29</f>
        <v>0.6957025</v>
      </c>
      <c r="B27">
        <f>'Airfoil Interpolation'!AP29</f>
        <v>-3.1082499999999999E-2</v>
      </c>
      <c r="D27">
        <f t="shared" si="6"/>
        <v>0.72838863253073893</v>
      </c>
      <c r="E27">
        <f t="shared" ca="1" si="6"/>
        <v>0.25163573099669406</v>
      </c>
      <c r="F27">
        <f t="shared" si="6"/>
        <v>0.45486102186905103</v>
      </c>
      <c r="G27">
        <f t="shared" ca="1" si="6"/>
        <v>-3.1364771353033585</v>
      </c>
      <c r="J27">
        <f t="shared" si="5"/>
        <v>0</v>
      </c>
      <c r="K27" s="1">
        <f t="shared" ca="1" si="0"/>
        <v>0.69296161816791479</v>
      </c>
      <c r="L27" s="1">
        <f t="shared" ca="1" si="1"/>
        <v>-6.9185266435340675E-2</v>
      </c>
      <c r="N27" s="30">
        <f t="shared" ca="1" si="2"/>
        <v>671.04925254600005</v>
      </c>
      <c r="O27" s="23">
        <f ca="1">L27*E27*1000/COS(G27*3.14/180)-J27*E27*L2*1000/COS(3.14*G2/180)</f>
        <v>-17.435576441003285</v>
      </c>
      <c r="P27" s="24">
        <f t="shared" si="3"/>
        <v>728.38863253073896</v>
      </c>
    </row>
    <row r="28" spans="1:16">
      <c r="A28">
        <f>'Airfoil Interpolation'!AO30</f>
        <v>0.78321249999999998</v>
      </c>
      <c r="B28">
        <f>'Airfoil Interpolation'!AP30</f>
        <v>-2.3432500000000002E-2</v>
      </c>
      <c r="D28">
        <f t="shared" si="6"/>
        <v>0.72838863253073893</v>
      </c>
      <c r="E28">
        <f t="shared" ca="1" si="6"/>
        <v>0.25163573099669406</v>
      </c>
      <c r="F28">
        <f t="shared" si="6"/>
        <v>0.45486102186905103</v>
      </c>
      <c r="G28">
        <f t="shared" ca="1" si="6"/>
        <v>-3.1364771353033585</v>
      </c>
      <c r="J28">
        <f t="shared" si="5"/>
        <v>0</v>
      </c>
      <c r="K28" s="1">
        <f t="shared" ca="1" si="0"/>
        <v>0.78075901850352003</v>
      </c>
      <c r="L28" s="1">
        <f t="shared" ca="1" si="1"/>
        <v>-6.6328081023123056E-2</v>
      </c>
      <c r="N28" s="30">
        <f t="shared" ca="1" si="2"/>
        <v>693.1753259680554</v>
      </c>
      <c r="O28" s="23">
        <f ca="1">L28*E28*1000/COS(G28*3.14/180)-J28*E28*L2*1000/COS(3.14*G2/180)</f>
        <v>-16.715528991198383</v>
      </c>
      <c r="P28" s="24">
        <f t="shared" si="3"/>
        <v>728.38863253073896</v>
      </c>
    </row>
    <row r="29" spans="1:16">
      <c r="A29">
        <f>'Airfoil Interpolation'!AO31</f>
        <v>0.87063749999999995</v>
      </c>
      <c r="B29">
        <f>'Airfoil Interpolation'!AP31</f>
        <v>-1.487E-2</v>
      </c>
      <c r="D29">
        <f t="shared" si="6"/>
        <v>0.72838863253073893</v>
      </c>
      <c r="E29">
        <f t="shared" ca="1" si="6"/>
        <v>0.25163573099669406</v>
      </c>
      <c r="F29">
        <f t="shared" si="6"/>
        <v>0.45486102186905103</v>
      </c>
      <c r="G29">
        <f t="shared" ca="1" si="6"/>
        <v>-3.1364771353033585</v>
      </c>
      <c r="J29">
        <f t="shared" si="5"/>
        <v>0</v>
      </c>
      <c r="K29" s="1">
        <f t="shared" ca="1" si="0"/>
        <v>0.86852144774747497</v>
      </c>
      <c r="L29" s="1">
        <f t="shared" ca="1" si="1"/>
        <v>-6.2553740265916716E-2</v>
      </c>
      <c r="N29" s="30">
        <f t="shared" ca="1" si="2"/>
        <v>715.2925862255006</v>
      </c>
      <c r="O29" s="23">
        <f ca="1">L29*E29*1000/COS(G29*3.14/180)-J29*E29*L2*1000/COS(3.14*G2/180)</f>
        <v>-15.764346605449125</v>
      </c>
      <c r="P29" s="24">
        <f t="shared" si="3"/>
        <v>728.38863253073896</v>
      </c>
    </row>
    <row r="30" spans="1:16">
      <c r="A30">
        <f>'Airfoil Interpolation'!AO32</f>
        <v>0.95648</v>
      </c>
      <c r="B30">
        <f>'Airfoil Interpolation'!AP32</f>
        <v>-5.6600000000000001E-3</v>
      </c>
      <c r="D30">
        <f t="shared" si="6"/>
        <v>0.72838863253073893</v>
      </c>
      <c r="E30">
        <f t="shared" ca="1" si="6"/>
        <v>0.25163573099669406</v>
      </c>
      <c r="F30">
        <f t="shared" si="6"/>
        <v>0.45486102186905103</v>
      </c>
      <c r="G30">
        <f t="shared" ca="1" si="6"/>
        <v>-3.1364771353033585</v>
      </c>
      <c r="J30">
        <f t="shared" si="5"/>
        <v>0</v>
      </c>
      <c r="K30" s="1">
        <f t="shared" ca="1" si="0"/>
        <v>0.95473915481960836</v>
      </c>
      <c r="L30" s="1">
        <f t="shared" ca="1" si="1"/>
        <v>-5.8045227938773626E-2</v>
      </c>
      <c r="N30" s="30">
        <f t="shared" ca="1" si="2"/>
        <v>737.0205566399693</v>
      </c>
      <c r="O30" s="23">
        <f ca="1">L30*E30*1000/COS(G30*3.14/180)-J30*E30*L2*1000/COS(3.14*G2/180)</f>
        <v>-14.628143547120587</v>
      </c>
      <c r="P30" s="24">
        <f t="shared" si="3"/>
        <v>728.38863253073896</v>
      </c>
    </row>
    <row r="31" spans="1:16" ht="15" thickBot="1">
      <c r="A31">
        <v>1</v>
      </c>
      <c r="B31">
        <v>-8.0999999999999996E-4</v>
      </c>
      <c r="D31">
        <f t="shared" si="6"/>
        <v>0.72838863253073893</v>
      </c>
      <c r="E31">
        <f t="shared" ca="1" si="6"/>
        <v>0.25163573099669406</v>
      </c>
      <c r="F31">
        <f t="shared" si="6"/>
        <v>0.45486102186905103</v>
      </c>
      <c r="G31">
        <f t="shared" ca="1" si="6"/>
        <v>-3.1364771353033585</v>
      </c>
      <c r="J31">
        <f t="shared" si="5"/>
        <v>0</v>
      </c>
      <c r="K31" s="1">
        <f t="shared" ca="1" si="0"/>
        <v>0.99845926062792112</v>
      </c>
      <c r="L31" s="1">
        <f t="shared" ca="1" si="1"/>
        <v>-5.5578764572990158E-2</v>
      </c>
      <c r="N31" s="31">
        <f t="shared" ca="1" si="2"/>
        <v>748.0385852767746</v>
      </c>
      <c r="O31" s="32">
        <f ca="1">L31*E31*1000/COS(G31*3.14/180)-J31*E31*L2*1000/COS(3.14*G2/180)</f>
        <v>-14.006563075312433</v>
      </c>
      <c r="P31" s="33">
        <f t="shared" si="3"/>
        <v>728.38863253073896</v>
      </c>
    </row>
  </sheetData>
  <pageMargins left="0.7" right="0.7" top="0.75" bottom="0.75" header="0.3" footer="0.3"/>
  <drawing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1"/>
  <sheetViews>
    <sheetView topLeftCell="A17" workbookViewId="0">
      <selection activeCell="V27" sqref="V27"/>
    </sheetView>
  </sheetViews>
  <sheetFormatPr baseColWidth="10" defaultColWidth="8.83203125" defaultRowHeight="14" x14ac:dyDescent="0"/>
  <sheetData>
    <row r="1" spans="1:22" ht="15" thickBot="1">
      <c r="A1">
        <v>11</v>
      </c>
      <c r="D1" t="s">
        <v>0</v>
      </c>
      <c r="E1" t="s">
        <v>1</v>
      </c>
      <c r="F1" t="s">
        <v>2</v>
      </c>
      <c r="G1" t="s">
        <v>5</v>
      </c>
      <c r="J1" t="s">
        <v>10</v>
      </c>
      <c r="K1" t="s">
        <v>9</v>
      </c>
      <c r="N1" s="6" t="s">
        <v>6</v>
      </c>
      <c r="O1" s="6" t="s">
        <v>7</v>
      </c>
      <c r="P1" s="6" t="s">
        <v>8</v>
      </c>
    </row>
    <row r="2" spans="1:22">
      <c r="A2">
        <f>'Airfoil Interpolation'!AS4</f>
        <v>1</v>
      </c>
      <c r="B2">
        <f>'Airfoil Interpolation'!AT4</f>
        <v>8.9833333333333334E-4</v>
      </c>
      <c r="D2" s="4">
        <f>'Loft Viewer'!L5</f>
        <v>0.80932070281193214</v>
      </c>
      <c r="E2" s="4">
        <f ca="1">'Loft Viewer'!L6</f>
        <v>0.21222290565986257</v>
      </c>
      <c r="F2" s="4">
        <f>'Loft Viewer'!L7</f>
        <v>0.50540113541005671</v>
      </c>
      <c r="G2" s="4">
        <f ca="1">-'Loft Viewer'!L8</f>
        <v>-1.1692193954875978</v>
      </c>
      <c r="J2">
        <f>'Loft Viewer'!B2</f>
        <v>0</v>
      </c>
      <c r="K2" s="1">
        <f ca="1">((A2)*COS(3.14*G2/180)-B2*SIN(3.14*G2/180))</f>
        <v>0.99981032247573021</v>
      </c>
      <c r="L2" s="1">
        <f ca="1">((A2)*SIN(3.14*G2/180)+B2*COS(3.14*G2/180))/COS(3.14*G2/180)</f>
        <v>-1.9500878308281167E-2</v>
      </c>
      <c r="N2" s="27">
        <f ca="1">K2*E2*1000/COS(G2*3.14/180)+F2*1000</f>
        <v>763.79792528469909</v>
      </c>
      <c r="O2" s="28">
        <f ca="1">L2*E2*1000/COS(G2*3.14/180)-J2*E2*L2*1000/COS(3.14*G2/180)</f>
        <v>-4.1393940473435586</v>
      </c>
      <c r="P2" s="29">
        <f>D2*1000</f>
        <v>809.32070281193216</v>
      </c>
      <c r="V2" s="5"/>
    </row>
    <row r="3" spans="1:22">
      <c r="A3">
        <f>'Airfoil Interpolation'!AS5</f>
        <v>0.9570616666666667</v>
      </c>
      <c r="B3">
        <f>'Airfoil Interpolation'!AT5</f>
        <v>5.7766666666666669E-3</v>
      </c>
      <c r="D3">
        <f>D2</f>
        <v>0.80932070281193214</v>
      </c>
      <c r="E3">
        <f ca="1">E2</f>
        <v>0.21222290565986257</v>
      </c>
      <c r="F3">
        <f>F2</f>
        <v>0.50540113541005671</v>
      </c>
      <c r="G3">
        <f ca="1">G2</f>
        <v>-1.1692193954875978</v>
      </c>
      <c r="J3">
        <f>J2</f>
        <v>0</v>
      </c>
      <c r="K3" s="1">
        <f t="shared" ref="K3:K31" ca="1" si="0">((A3)*COS(3.14*G3/180)-B3*SIN(3.14*G3/180))</f>
        <v>0.9569804137282617</v>
      </c>
      <c r="L3" s="1">
        <f t="shared" ref="L3:L31" ca="1" si="1">((A3)*SIN(3.14*G3/180)+B3*COS(3.14*G3/180))/COS(3.14*G3/180)</f>
        <v>-1.3746636825742975E-2</v>
      </c>
      <c r="N3" s="30">
        <f t="shared" ref="N3:N31" ca="1" si="2">K3*E3*1000/COS(G3*3.14/180)+F3*1000</f>
        <v>754.70654660345008</v>
      </c>
      <c r="O3" s="23">
        <f ca="1">L3*E3*1000/COS(G3*3.14/180)-J3*E3*L2*1000/COS(3.14*G2/180)</f>
        <v>-2.9179581425986401</v>
      </c>
      <c r="P3" s="24">
        <f t="shared" ref="P3:P31" si="3">D3*1000</f>
        <v>809.32070281193216</v>
      </c>
    </row>
    <row r="4" spans="1:22">
      <c r="A4">
        <f>'Airfoil Interpolation'!AS6</f>
        <v>0.87119499999999994</v>
      </c>
      <c r="B4">
        <f>'Airfoil Interpolation'!AT6</f>
        <v>1.5123333333333334E-2</v>
      </c>
      <c r="D4">
        <f t="shared" ref="D4:G19" si="4">D3</f>
        <v>0.80932070281193214</v>
      </c>
      <c r="E4">
        <f t="shared" ca="1" si="4"/>
        <v>0.21222290565986257</v>
      </c>
      <c r="F4">
        <f t="shared" si="4"/>
        <v>0.50540113541005671</v>
      </c>
      <c r="G4">
        <f t="shared" ca="1" si="4"/>
        <v>-1.1692193954875978</v>
      </c>
      <c r="J4">
        <f t="shared" ref="J4:J31" si="5">J3</f>
        <v>0</v>
      </c>
      <c r="K4" s="1">
        <f t="shared" ca="1" si="0"/>
        <v>0.87132223221619787</v>
      </c>
      <c r="L4" s="1">
        <f t="shared" ca="1" si="1"/>
        <v>-2.6483578527830075E-3</v>
      </c>
      <c r="N4" s="30">
        <f t="shared" ca="1" si="2"/>
        <v>736.52413650622179</v>
      </c>
      <c r="O4" s="23">
        <f ca="1">L4*E4*1000/COS(G4*3.14/180)-J4*E4*L2*1000/COS(3.14*G2/180)</f>
        <v>-0.56215912728352424</v>
      </c>
      <c r="P4" s="24">
        <f t="shared" si="3"/>
        <v>809.32070281193216</v>
      </c>
    </row>
    <row r="5" spans="1:22">
      <c r="A5">
        <f>'Airfoil Interpolation'!AS7</f>
        <v>0.78370666666666666</v>
      </c>
      <c r="B5">
        <f>'Airfoil Interpolation'!AT7</f>
        <v>2.4191666666666667E-2</v>
      </c>
      <c r="D5">
        <f t="shared" si="4"/>
        <v>0.80932070281193214</v>
      </c>
      <c r="E5">
        <f t="shared" ca="1" si="4"/>
        <v>0.21222290565986257</v>
      </c>
      <c r="F5">
        <f t="shared" si="4"/>
        <v>0.50540113541005671</v>
      </c>
      <c r="G5">
        <f t="shared" ca="1" si="4"/>
        <v>-1.1692193954875978</v>
      </c>
      <c r="J5">
        <f t="shared" si="5"/>
        <v>0</v>
      </c>
      <c r="K5" s="1">
        <f t="shared" ca="1" si="0"/>
        <v>0.78403704474291869</v>
      </c>
      <c r="L5" s="1">
        <f t="shared" ca="1" si="1"/>
        <v>8.2046685083891051E-3</v>
      </c>
      <c r="N5" s="30">
        <f t="shared" ca="1" si="2"/>
        <v>717.99636664189075</v>
      </c>
      <c r="O5" s="23">
        <f ca="1">L5*E5*1000/COS(G5*3.14/180)-J5*E5*L2*1000/COS(3.14*G2/180)</f>
        <v>1.7415808379067057</v>
      </c>
      <c r="P5" s="24">
        <f t="shared" si="3"/>
        <v>809.32070281193216</v>
      </c>
    </row>
    <row r="6" spans="1:22">
      <c r="A6">
        <f>'Airfoil Interpolation'!AS8</f>
        <v>0.69615166666666672</v>
      </c>
      <c r="B6">
        <f>'Airfoil Interpolation'!AT8</f>
        <v>3.2818333333333331E-2</v>
      </c>
      <c r="D6">
        <f t="shared" si="4"/>
        <v>0.80932070281193214</v>
      </c>
      <c r="E6">
        <f t="shared" ca="1" si="4"/>
        <v>0.21222290565986257</v>
      </c>
      <c r="F6">
        <f t="shared" si="4"/>
        <v>0.50540113541005671</v>
      </c>
      <c r="G6">
        <f t="shared" ca="1" si="4"/>
        <v>-1.1692193954875978</v>
      </c>
      <c r="J6">
        <f t="shared" si="5"/>
        <v>0</v>
      </c>
      <c r="K6" s="1">
        <f t="shared" ca="1" si="0"/>
        <v>0.69667619669176339</v>
      </c>
      <c r="L6" s="1">
        <f t="shared" ca="1" si="1"/>
        <v>1.8617388150337321E-2</v>
      </c>
      <c r="N6" s="30">
        <f t="shared" ca="1" si="2"/>
        <v>699.45253652936333</v>
      </c>
      <c r="O6" s="23">
        <f ca="1">L6*E6*1000/COS(G6*3.14/180)-J6*E6*L2*1000/COS(3.14*G2/180)</f>
        <v>3.9518581916315441</v>
      </c>
      <c r="P6" s="24">
        <f t="shared" si="3"/>
        <v>809.32070281193216</v>
      </c>
    </row>
    <row r="7" spans="1:22">
      <c r="A7">
        <f>'Airfoil Interpolation'!AS9</f>
        <v>0.6086516666666667</v>
      </c>
      <c r="B7">
        <f>'Airfoil Interpolation'!AT9</f>
        <v>4.0953333333333335E-2</v>
      </c>
      <c r="D7">
        <f t="shared" si="4"/>
        <v>0.80932070281193214</v>
      </c>
      <c r="E7">
        <f t="shared" ca="1" si="4"/>
        <v>0.21222290565986257</v>
      </c>
      <c r="F7">
        <f t="shared" si="4"/>
        <v>0.50540113541005671</v>
      </c>
      <c r="G7">
        <f t="shared" ca="1" si="4"/>
        <v>-1.1692193954875978</v>
      </c>
      <c r="J7">
        <f t="shared" si="5"/>
        <v>0</v>
      </c>
      <c r="K7" s="1">
        <f t="shared" ca="1" si="0"/>
        <v>0.60936030967442167</v>
      </c>
      <c r="L7" s="1">
        <f t="shared" ca="1" si="1"/>
        <v>2.8537319168978604E-2</v>
      </c>
      <c r="N7" s="30">
        <f t="shared" ca="1" si="2"/>
        <v>680.91825016316307</v>
      </c>
      <c r="O7" s="23">
        <f ca="1">L7*E7*1000/COS(G7*3.14/180)-J7*E7*L2*1000/COS(3.14*G2/180)</f>
        <v>6.0575327545657176</v>
      </c>
      <c r="P7" s="24">
        <f t="shared" si="3"/>
        <v>809.32070281193216</v>
      </c>
    </row>
    <row r="8" spans="1:22">
      <c r="A8">
        <f>'Airfoil Interpolation'!AS10</f>
        <v>0.52129166666666671</v>
      </c>
      <c r="B8">
        <f>'Airfoil Interpolation'!AT10</f>
        <v>4.8226666666666668E-2</v>
      </c>
      <c r="D8">
        <f t="shared" si="4"/>
        <v>0.80932070281193214</v>
      </c>
      <c r="E8">
        <f t="shared" ca="1" si="4"/>
        <v>0.21222290565986257</v>
      </c>
      <c r="F8">
        <f t="shared" si="4"/>
        <v>0.50540113541005671</v>
      </c>
      <c r="G8">
        <f t="shared" ca="1" si="4"/>
        <v>-1.1692193954875978</v>
      </c>
      <c r="J8">
        <f t="shared" si="5"/>
        <v>0</v>
      </c>
      <c r="K8" s="1">
        <f t="shared" ca="1" si="0"/>
        <v>0.52216681987258684</v>
      </c>
      <c r="L8" s="1">
        <f t="shared" ca="1" si="1"/>
        <v>3.7592727631323375E-2</v>
      </c>
      <c r="N8" s="30">
        <f t="shared" ca="1" si="2"/>
        <v>662.40994469368297</v>
      </c>
      <c r="O8" s="23">
        <f ca="1">L8*E8*1000/COS(G8*3.14/180)-J8*E8*L2*1000/COS(3.14*G2/180)</f>
        <v>7.9796976587678348</v>
      </c>
      <c r="P8" s="24">
        <f t="shared" si="3"/>
        <v>809.32070281193216</v>
      </c>
    </row>
    <row r="9" spans="1:22">
      <c r="A9">
        <f>'Airfoil Interpolation'!AS11</f>
        <v>0.43421500000000002</v>
      </c>
      <c r="B9">
        <f>'Airfoil Interpolation'!AT11</f>
        <v>5.3889999999999993E-2</v>
      </c>
      <c r="D9">
        <f t="shared" si="4"/>
        <v>0.80932070281193214</v>
      </c>
      <c r="E9">
        <f t="shared" ca="1" si="4"/>
        <v>0.21222290565986257</v>
      </c>
      <c r="F9">
        <f t="shared" si="4"/>
        <v>0.50540113541005671</v>
      </c>
      <c r="G9">
        <f t="shared" ca="1" si="4"/>
        <v>-1.1692193954875978</v>
      </c>
      <c r="J9">
        <f t="shared" si="5"/>
        <v>0</v>
      </c>
      <c r="K9" s="1">
        <f t="shared" ca="1" si="0"/>
        <v>0.43522376857154621</v>
      </c>
      <c r="L9" s="1">
        <f t="shared" ca="1" si="1"/>
        <v>4.5032356317036351E-2</v>
      </c>
      <c r="N9" s="30">
        <f t="shared" ca="1" si="2"/>
        <v>643.95479906772493</v>
      </c>
      <c r="O9" s="23">
        <f ca="1">L9*E9*1000/COS(G9*3.14/180)-J9*E9*L2*1000/COS(3.14*G2/180)</f>
        <v>9.5588857450300413</v>
      </c>
      <c r="P9" s="24">
        <f t="shared" si="3"/>
        <v>809.32070281193216</v>
      </c>
    </row>
    <row r="10" spans="1:22">
      <c r="A10">
        <f>'Airfoil Interpolation'!AS12</f>
        <v>0.34751833333333332</v>
      </c>
      <c r="B10">
        <f>'Airfoil Interpolation'!AT12</f>
        <v>5.7369999999999997E-2</v>
      </c>
      <c r="D10">
        <f t="shared" si="4"/>
        <v>0.80932070281193214</v>
      </c>
      <c r="E10">
        <f t="shared" ca="1" si="4"/>
        <v>0.21222290565986257</v>
      </c>
      <c r="F10">
        <f t="shared" si="4"/>
        <v>0.50540113541005671</v>
      </c>
      <c r="G10">
        <f t="shared" ca="1" si="4"/>
        <v>-1.1692193954875978</v>
      </c>
      <c r="J10">
        <f t="shared" si="5"/>
        <v>0</v>
      </c>
      <c r="K10" s="1">
        <f t="shared" ca="1" si="0"/>
        <v>0.3486161092160508</v>
      </c>
      <c r="L10" s="1">
        <f t="shared" ca="1" si="1"/>
        <v>5.0280899968992196E-2</v>
      </c>
      <c r="N10" s="30">
        <f t="shared" ca="1" si="2"/>
        <v>625.57084610298818</v>
      </c>
      <c r="O10" s="23">
        <f ca="1">L10*E10*1000/COS(G10*3.14/180)-J10*E10*L2*1000/COS(3.14*G2/180)</f>
        <v>10.672978659547784</v>
      </c>
      <c r="P10" s="24">
        <f t="shared" si="3"/>
        <v>809.32070281193216</v>
      </c>
    </row>
    <row r="11" spans="1:22">
      <c r="A11">
        <f>'Airfoil Interpolation'!AS13</f>
        <v>0.26160666666666665</v>
      </c>
      <c r="B11">
        <f>'Airfoil Interpolation'!AT13</f>
        <v>5.7698333333333331E-2</v>
      </c>
      <c r="D11">
        <f t="shared" si="4"/>
        <v>0.80932070281193214</v>
      </c>
      <c r="E11">
        <f t="shared" ca="1" si="4"/>
        <v>0.21222290565986257</v>
      </c>
      <c r="F11">
        <f t="shared" si="4"/>
        <v>0.50540113541005671</v>
      </c>
      <c r="G11">
        <f t="shared" ca="1" si="4"/>
        <v>-1.1692193954875978</v>
      </c>
      <c r="J11">
        <f t="shared" si="5"/>
        <v>0</v>
      </c>
      <c r="K11" s="1">
        <f t="shared" ca="1" si="0"/>
        <v>0.26272900843855085</v>
      </c>
      <c r="L11" s="1">
        <f t="shared" ca="1" si="1"/>
        <v>5.2361763573142699E-2</v>
      </c>
      <c r="N11" s="30">
        <f t="shared" ca="1" si="2"/>
        <v>607.33984398699602</v>
      </c>
      <c r="O11" s="23">
        <f ca="1">L11*E11*1000/COS(G11*3.14/180)-J11*E11*L2*1000/COS(3.14*G2/180)</f>
        <v>11.114677452811712</v>
      </c>
      <c r="P11" s="24">
        <f t="shared" si="3"/>
        <v>809.32070281193216</v>
      </c>
    </row>
    <row r="12" spans="1:22">
      <c r="A12">
        <f>'Airfoil Interpolation'!AS14</f>
        <v>0.17706666666666665</v>
      </c>
      <c r="B12">
        <f>'Airfoil Interpolation'!AT14</f>
        <v>5.4039999999999991E-2</v>
      </c>
      <c r="D12">
        <f t="shared" si="4"/>
        <v>0.80932070281193214</v>
      </c>
      <c r="E12">
        <f t="shared" ca="1" si="4"/>
        <v>0.21222290565986257</v>
      </c>
      <c r="F12">
        <f t="shared" si="4"/>
        <v>0.50540113541005671</v>
      </c>
      <c r="G12">
        <f t="shared" ca="1" si="4"/>
        <v>-1.1692193954875978</v>
      </c>
      <c r="J12">
        <f t="shared" si="5"/>
        <v>0</v>
      </c>
      <c r="K12" s="1">
        <f t="shared" ca="1" si="0"/>
        <v>0.17813198108082801</v>
      </c>
      <c r="L12" s="1">
        <f t="shared" ca="1" si="1"/>
        <v>5.0427979591991447E-2</v>
      </c>
      <c r="N12" s="30">
        <f t="shared" ca="1" si="2"/>
        <v>589.38268195912929</v>
      </c>
      <c r="O12" s="23">
        <f ca="1">L12*E12*1000/COS(G12*3.14/180)-J12*E12*L2*1000/COS(3.14*G2/180)</f>
        <v>10.704198818265976</v>
      </c>
      <c r="P12" s="24">
        <f t="shared" si="3"/>
        <v>809.32070281193216</v>
      </c>
    </row>
    <row r="13" spans="1:22">
      <c r="A13">
        <f>'Airfoil Interpolation'!AS15</f>
        <v>9.6873333333333325E-2</v>
      </c>
      <c r="B13">
        <f>'Airfoil Interpolation'!AT15</f>
        <v>4.4408333333333327E-2</v>
      </c>
      <c r="D13">
        <f t="shared" si="4"/>
        <v>0.80932070281193214</v>
      </c>
      <c r="E13">
        <f t="shared" ca="1" si="4"/>
        <v>0.21222290565986257</v>
      </c>
      <c r="F13">
        <f t="shared" si="4"/>
        <v>0.50540113541005671</v>
      </c>
      <c r="G13">
        <f t="shared" ca="1" si="4"/>
        <v>-1.1692193954875978</v>
      </c>
      <c r="J13">
        <f t="shared" si="5"/>
        <v>0</v>
      </c>
      <c r="K13" s="1">
        <f t="shared" ca="1" si="0"/>
        <v>9.7758890341507199E-2</v>
      </c>
      <c r="L13" s="1">
        <f t="shared" ca="1" si="1"/>
        <v>4.2432193704237994E-2</v>
      </c>
      <c r="N13" s="30">
        <f t="shared" ca="1" si="2"/>
        <v>572.3221225261899</v>
      </c>
      <c r="O13" s="23">
        <f ca="1">L13*E13*1000/COS(G13*3.14/180)-J13*E13*L2*1000/COS(3.14*G2/180)</f>
        <v>9.0069568794992918</v>
      </c>
      <c r="P13" s="24">
        <f t="shared" si="3"/>
        <v>809.32070281193216</v>
      </c>
    </row>
    <row r="14" spans="1:22">
      <c r="A14">
        <f>'Airfoil Interpolation'!AS16</f>
        <v>3.6814999999999994E-2</v>
      </c>
      <c r="B14">
        <f>'Airfoil Interpolation'!AT16</f>
        <v>2.9311666666666666E-2</v>
      </c>
      <c r="D14">
        <f t="shared" si="4"/>
        <v>0.80932070281193214</v>
      </c>
      <c r="E14">
        <f t="shared" ca="1" si="4"/>
        <v>0.21222290565986257</v>
      </c>
      <c r="F14">
        <f t="shared" si="4"/>
        <v>0.50540113541005671</v>
      </c>
      <c r="G14">
        <f t="shared" ca="1" si="4"/>
        <v>-1.1692193954875978</v>
      </c>
      <c r="J14">
        <f t="shared" si="5"/>
        <v>0</v>
      </c>
      <c r="K14" s="1">
        <f t="shared" ca="1" si="0"/>
        <v>3.7405153038691887E-2</v>
      </c>
      <c r="L14" s="1">
        <f t="shared" ca="1" si="1"/>
        <v>2.8560669690080628E-2</v>
      </c>
      <c r="N14" s="30">
        <f t="shared" ca="1" si="2"/>
        <v>559.51101233018812</v>
      </c>
      <c r="O14" s="23">
        <f ca="1">L14*E14*1000/COS(G14*3.14/180)-J14*E14*L2*1000/COS(3.14*G2/180)</f>
        <v>6.0624893009593759</v>
      </c>
      <c r="P14" s="24">
        <f t="shared" si="3"/>
        <v>809.32070281193216</v>
      </c>
    </row>
    <row r="15" spans="1:22">
      <c r="A15">
        <f>'Airfoil Interpolation'!AS17</f>
        <v>1.0818333333333333E-2</v>
      </c>
      <c r="B15">
        <f>'Airfoil Interpolation'!AT17</f>
        <v>1.6078333333333333E-2</v>
      </c>
      <c r="D15">
        <f t="shared" si="4"/>
        <v>0.80932070281193214</v>
      </c>
      <c r="E15">
        <f t="shared" ca="1" si="4"/>
        <v>0.21222290565986257</v>
      </c>
      <c r="F15">
        <f t="shared" si="4"/>
        <v>0.50540113541005671</v>
      </c>
      <c r="G15">
        <f t="shared" ca="1" si="4"/>
        <v>-1.1692193954875978</v>
      </c>
      <c r="J15">
        <f t="shared" si="5"/>
        <v>0</v>
      </c>
      <c r="K15" s="1">
        <f t="shared" ca="1" si="0"/>
        <v>1.1144000234660658E-2</v>
      </c>
      <c r="L15" s="1">
        <f t="shared" ca="1" si="1"/>
        <v>1.5857647862057133E-2</v>
      </c>
      <c r="N15" s="30">
        <f t="shared" ca="1" si="2"/>
        <v>553.93663471114394</v>
      </c>
      <c r="O15" s="23">
        <f ca="1">L15*E15*1000/COS(G15*3.14/180)-J15*E15*L2*1000/COS(3.14*G2/180)</f>
        <v>3.3660562425639431</v>
      </c>
      <c r="P15" s="24">
        <f t="shared" si="3"/>
        <v>809.32070281193216</v>
      </c>
    </row>
    <row r="16" spans="1:22">
      <c r="A16">
        <f>'Airfoil Interpolation'!AS18</f>
        <v>1.15E-3</v>
      </c>
      <c r="B16">
        <f>'Airfoil Interpolation'!AT18</f>
        <v>5.5033333333333332E-3</v>
      </c>
      <c r="D16">
        <f t="shared" si="4"/>
        <v>0.80932070281193214</v>
      </c>
      <c r="E16">
        <f t="shared" ca="1" si="4"/>
        <v>0.21222290565986257</v>
      </c>
      <c r="F16">
        <f t="shared" si="4"/>
        <v>0.50540113541005671</v>
      </c>
      <c r="G16">
        <f t="shared" ca="1" si="4"/>
        <v>-1.1692193954875978</v>
      </c>
      <c r="J16">
        <f t="shared" si="5"/>
        <v>0</v>
      </c>
      <c r="K16" s="1">
        <f t="shared" ca="1" si="0"/>
        <v>1.2620011118161332E-3</v>
      </c>
      <c r="L16" s="1">
        <f t="shared" ca="1" si="1"/>
        <v>5.4798742399454767E-3</v>
      </c>
      <c r="N16" s="30">
        <f t="shared" ca="1" si="2"/>
        <v>551.83901184009687</v>
      </c>
      <c r="O16" s="23">
        <f ca="1">L16*E16*1000/COS(G16*3.14/180)-J16*E16*L2*1000/COS(3.14*G2/180)</f>
        <v>1.1631967776235488</v>
      </c>
      <c r="P16" s="24">
        <f t="shared" si="3"/>
        <v>809.32070281193216</v>
      </c>
    </row>
    <row r="17" spans="1:16">
      <c r="A17">
        <f>'Airfoil Interpolation'!AS19</f>
        <v>9.8666666666666672E-4</v>
      </c>
      <c r="B17">
        <f>'Airfoil Interpolation'!AT19</f>
        <v>-4.3400000000000001E-3</v>
      </c>
      <c r="D17">
        <f t="shared" si="4"/>
        <v>0.80932070281193214</v>
      </c>
      <c r="E17">
        <f t="shared" ca="1" si="4"/>
        <v>0.21222290565986257</v>
      </c>
      <c r="F17">
        <f t="shared" si="4"/>
        <v>0.50540113541005671</v>
      </c>
      <c r="G17">
        <f t="shared" ca="1" si="4"/>
        <v>-1.1692193954875978</v>
      </c>
      <c r="J17">
        <f t="shared" si="5"/>
        <v>0</v>
      </c>
      <c r="K17" s="1">
        <f t="shared" ca="1" si="0"/>
        <v>8.9794727714589181E-4</v>
      </c>
      <c r="L17" s="1">
        <f t="shared" ca="1" si="1"/>
        <v>-4.3601272221530599E-3</v>
      </c>
      <c r="N17" s="30">
        <f t="shared" ca="1" si="2"/>
        <v>551.76173520402313</v>
      </c>
      <c r="O17" s="23">
        <f ca="1">L17*E17*1000/COS(G17*3.14/180)-J17*E17*L2*1000/COS(3.14*G2/180)</f>
        <v>-0.92551137357626956</v>
      </c>
      <c r="P17" s="24">
        <f t="shared" si="3"/>
        <v>809.32070281193216</v>
      </c>
    </row>
    <row r="18" spans="1:16">
      <c r="A18">
        <f>'Airfoil Interpolation'!AS20</f>
        <v>1.0251666666666668E-2</v>
      </c>
      <c r="B18">
        <f>'Airfoil Interpolation'!AT20</f>
        <v>-1.4395000000000002E-2</v>
      </c>
      <c r="D18">
        <f t="shared" si="4"/>
        <v>0.80932070281193214</v>
      </c>
      <c r="E18">
        <f t="shared" ca="1" si="4"/>
        <v>0.21222290565986257</v>
      </c>
      <c r="F18">
        <f t="shared" si="4"/>
        <v>0.50540113541005671</v>
      </c>
      <c r="G18">
        <f t="shared" ca="1" si="4"/>
        <v>-1.1692193954875978</v>
      </c>
      <c r="J18">
        <f t="shared" si="5"/>
        <v>0</v>
      </c>
      <c r="K18" s="1">
        <f t="shared" ca="1" si="0"/>
        <v>9.9559487568365076E-3</v>
      </c>
      <c r="L18" s="1">
        <f t="shared" ca="1" si="1"/>
        <v>-1.460412591801262E-2</v>
      </c>
      <c r="N18" s="30">
        <f t="shared" ca="1" si="2"/>
        <v>553.68445052038601</v>
      </c>
      <c r="O18" s="23">
        <f ca="1">L18*E18*1000/COS(G18*3.14/180)-J18*E18*L2*1000/COS(3.14*G2/180)</f>
        <v>-3.0999748286212223</v>
      </c>
      <c r="P18" s="24">
        <f t="shared" si="3"/>
        <v>809.32070281193216</v>
      </c>
    </row>
    <row r="19" spans="1:16">
      <c r="A19">
        <f>'Airfoil Interpolation'!AS21</f>
        <v>3.5196666666666668E-2</v>
      </c>
      <c r="B19">
        <f>'Airfoil Interpolation'!AT21</f>
        <v>-2.5603333333333332E-2</v>
      </c>
      <c r="D19">
        <f t="shared" si="4"/>
        <v>0.80932070281193214</v>
      </c>
      <c r="E19">
        <f t="shared" ca="1" si="4"/>
        <v>0.21222290565986257</v>
      </c>
      <c r="F19">
        <f t="shared" si="4"/>
        <v>0.50540113541005671</v>
      </c>
      <c r="G19">
        <f t="shared" ca="1" si="4"/>
        <v>-1.1692193954875978</v>
      </c>
      <c r="J19">
        <f t="shared" si="5"/>
        <v>0</v>
      </c>
      <c r="K19" s="1">
        <f t="shared" ca="1" si="0"/>
        <v>3.4667166614989295E-2</v>
      </c>
      <c r="L19" s="1">
        <f t="shared" ca="1" si="1"/>
        <v>-2.6321317585746025E-2</v>
      </c>
      <c r="N19" s="30">
        <f t="shared" ca="1" si="2"/>
        <v>558.92982800993275</v>
      </c>
      <c r="O19" s="23">
        <f ca="1">L19*E19*1000/COS(G19*3.14/180)-J19*E19*L2*1000/COS(3.14*G2/180)</f>
        <v>-5.5871486201935996</v>
      </c>
      <c r="P19" s="24">
        <f t="shared" si="3"/>
        <v>809.32070281193216</v>
      </c>
    </row>
    <row r="20" spans="1:16">
      <c r="A20">
        <f>'Airfoil Interpolation'!AS22</f>
        <v>9.4423333333333331E-2</v>
      </c>
      <c r="B20">
        <f>'Airfoil Interpolation'!AT22</f>
        <v>-3.8821666666666664E-2</v>
      </c>
      <c r="D20">
        <f t="shared" ref="D20:G31" si="6">D19</f>
        <v>0.80932070281193214</v>
      </c>
      <c r="E20">
        <f t="shared" ca="1" si="6"/>
        <v>0.21222290565986257</v>
      </c>
      <c r="F20">
        <f t="shared" si="6"/>
        <v>0.50540113541005671</v>
      </c>
      <c r="G20">
        <f t="shared" ca="1" si="6"/>
        <v>-1.1692193954875978</v>
      </c>
      <c r="J20">
        <f t="shared" si="5"/>
        <v>0</v>
      </c>
      <c r="K20" s="1">
        <f t="shared" ca="1" si="0"/>
        <v>9.3611926700334205E-2</v>
      </c>
      <c r="L20" s="1">
        <f t="shared" ca="1" si="1"/>
        <v>-4.0747828227240039E-2</v>
      </c>
      <c r="N20" s="30">
        <f t="shared" ca="1" si="2"/>
        <v>571.44185875860705</v>
      </c>
      <c r="O20" s="23">
        <f ca="1">L20*E20*1000/COS(G20*3.14/180)-J20*E20*L2*1000/COS(3.14*G2/180)</f>
        <v>-8.6494215767906173</v>
      </c>
      <c r="P20" s="24">
        <f t="shared" si="3"/>
        <v>809.32070281193216</v>
      </c>
    </row>
    <row r="21" spans="1:16">
      <c r="A21">
        <f>'Airfoil Interpolation'!AS23</f>
        <v>0.17512166666666665</v>
      </c>
      <c r="B21">
        <f>'Airfoil Interpolation'!AT23</f>
        <v>-4.6878333333333334E-2</v>
      </c>
      <c r="D21">
        <f t="shared" si="6"/>
        <v>0.80932070281193214</v>
      </c>
      <c r="E21">
        <f t="shared" ca="1" si="6"/>
        <v>0.21222290565986257</v>
      </c>
      <c r="F21">
        <f t="shared" si="6"/>
        <v>0.50540113541005671</v>
      </c>
      <c r="G21">
        <f t="shared" ca="1" si="6"/>
        <v>-1.1692193954875978</v>
      </c>
      <c r="J21">
        <f t="shared" si="5"/>
        <v>0</v>
      </c>
      <c r="K21" s="1">
        <f t="shared" ca="1" si="0"/>
        <v>0.17412915939677992</v>
      </c>
      <c r="L21" s="1">
        <f t="shared" ca="1" si="1"/>
        <v>-5.0450677274698937E-2</v>
      </c>
      <c r="N21" s="30">
        <f t="shared" ca="1" si="2"/>
        <v>588.53301478057506</v>
      </c>
      <c r="O21" s="23">
        <f ca="1">L21*E21*1000/COS(G21*3.14/180)-J21*E21*L2*1000/COS(3.14*G2/180)</f>
        <v>-10.709016788574932</v>
      </c>
      <c r="P21" s="24">
        <f t="shared" si="3"/>
        <v>809.32070281193216</v>
      </c>
    </row>
    <row r="22" spans="1:16">
      <c r="A22">
        <f>'Airfoil Interpolation'!AS24</f>
        <v>0.25999666666666665</v>
      </c>
      <c r="B22">
        <f>'Airfoil Interpolation'!AT24</f>
        <v>-4.9996666666666668E-2</v>
      </c>
      <c r="D22">
        <f t="shared" si="6"/>
        <v>0.80932070281193214</v>
      </c>
      <c r="E22">
        <f t="shared" ca="1" si="6"/>
        <v>0.21222290565986257</v>
      </c>
      <c r="F22">
        <f t="shared" si="6"/>
        <v>0.50540113541005671</v>
      </c>
      <c r="G22">
        <f t="shared" ca="1" si="6"/>
        <v>-1.1692193954875978</v>
      </c>
      <c r="J22">
        <f t="shared" si="5"/>
        <v>0</v>
      </c>
      <c r="K22" s="1">
        <f t="shared" ca="1" si="0"/>
        <v>0.25892290717078148</v>
      </c>
      <c r="L22" s="1">
        <f t="shared" ca="1" si="1"/>
        <v>-5.5300393696114301E-2</v>
      </c>
      <c r="N22" s="30">
        <f t="shared" ca="1" si="2"/>
        <v>606.53193407225638</v>
      </c>
      <c r="O22" s="23">
        <f ca="1">L22*E22*1000/COS(G22*3.14/180)-J22*E22*L2*1000/COS(3.14*G2/180)</f>
        <v>-11.738451820615829</v>
      </c>
      <c r="P22" s="24">
        <f t="shared" si="3"/>
        <v>809.32070281193216</v>
      </c>
    </row>
    <row r="23" spans="1:16">
      <c r="A23">
        <f>'Airfoil Interpolation'!AS25</f>
        <v>0.34623999999999999</v>
      </c>
      <c r="B23">
        <f>'Airfoil Interpolation'!AT25</f>
        <v>-4.993333333333333E-2</v>
      </c>
      <c r="D23">
        <f t="shared" si="6"/>
        <v>0.80932070281193214</v>
      </c>
      <c r="E23">
        <f t="shared" ca="1" si="6"/>
        <v>0.21222290565986257</v>
      </c>
      <c r="F23">
        <f t="shared" si="6"/>
        <v>0.50540113541005671</v>
      </c>
      <c r="G23">
        <f t="shared" ca="1" si="6"/>
        <v>-1.1692193954875978</v>
      </c>
      <c r="J23">
        <f t="shared" si="5"/>
        <v>0</v>
      </c>
      <c r="K23" s="1">
        <f t="shared" ca="1" si="0"/>
        <v>0.34514959365799003</v>
      </c>
      <c r="L23" s="1">
        <f t="shared" ca="1" si="1"/>
        <v>-5.6996356372125939E-2</v>
      </c>
      <c r="N23" s="30">
        <f t="shared" ca="1" si="2"/>
        <v>624.83501904744639</v>
      </c>
      <c r="O23" s="23">
        <f ca="1">L23*E23*1000/COS(G23*3.14/180)-J23*E23*L2*1000/COS(3.14*G2/180)</f>
        <v>-12.098448826628539</v>
      </c>
      <c r="P23" s="24">
        <f t="shared" si="3"/>
        <v>809.32070281193216</v>
      </c>
    </row>
    <row r="24" spans="1:16">
      <c r="A24">
        <f>'Airfoil Interpolation'!AS26</f>
        <v>0.43317</v>
      </c>
      <c r="B24">
        <f>'Airfoil Interpolation'!AT26</f>
        <v>-4.7493333333333332E-2</v>
      </c>
      <c r="D24">
        <f t="shared" si="6"/>
        <v>0.80932070281193214</v>
      </c>
      <c r="E24">
        <f t="shared" ca="1" si="6"/>
        <v>0.21222290565986257</v>
      </c>
      <c r="F24">
        <f t="shared" si="6"/>
        <v>0.50540113541005671</v>
      </c>
      <c r="G24">
        <f t="shared" ca="1" si="6"/>
        <v>-1.1692193954875978</v>
      </c>
      <c r="J24">
        <f t="shared" si="5"/>
        <v>0</v>
      </c>
      <c r="K24" s="1">
        <f t="shared" ca="1" si="0"/>
        <v>0.4321112760279831</v>
      </c>
      <c r="L24" s="1">
        <f t="shared" ca="1" si="1"/>
        <v>-5.6329659840131482E-2</v>
      </c>
      <c r="N24" s="30">
        <f t="shared" ca="1" si="2"/>
        <v>643.29411943557966</v>
      </c>
      <c r="O24" s="23">
        <f ca="1">L24*E24*1000/COS(G24*3.14/180)-J24*E24*L2*1000/COS(3.14*G2/180)</f>
        <v>-11.956931115872379</v>
      </c>
      <c r="P24" s="24">
        <f t="shared" si="3"/>
        <v>809.32070281193216</v>
      </c>
    </row>
    <row r="25" spans="1:16">
      <c r="A25">
        <f>'Airfoil Interpolation'!AS27</f>
        <v>0.52054833333333339</v>
      </c>
      <c r="B25">
        <f>'Airfoil Interpolation'!AT27</f>
        <v>-4.3275000000000001E-2</v>
      </c>
      <c r="D25">
        <f t="shared" si="6"/>
        <v>0.80932070281193214</v>
      </c>
      <c r="E25">
        <f t="shared" ca="1" si="6"/>
        <v>0.21222290565986257</v>
      </c>
      <c r="F25">
        <f t="shared" si="6"/>
        <v>0.50540113541005671</v>
      </c>
      <c r="G25">
        <f t="shared" ca="1" si="6"/>
        <v>-1.1692193954875978</v>
      </c>
      <c r="J25">
        <f t="shared" si="5"/>
        <v>0</v>
      </c>
      <c r="K25" s="1">
        <f t="shared" ca="1" si="0"/>
        <v>0.51955746753096232</v>
      </c>
      <c r="L25" s="1">
        <f t="shared" ca="1" si="1"/>
        <v>-5.389377562135636E-2</v>
      </c>
      <c r="N25" s="30">
        <f t="shared" ca="1" si="2"/>
        <v>661.85606515145969</v>
      </c>
      <c r="O25" s="23">
        <f ca="1">L25*E25*1000/COS(G25*3.14/180)-J25*E25*L2*1000/COS(3.14*G2/180)</f>
        <v>-11.439873141569036</v>
      </c>
      <c r="P25" s="24">
        <f t="shared" si="3"/>
        <v>809.32070281193216</v>
      </c>
    </row>
    <row r="26" spans="1:16">
      <c r="A26">
        <f>'Airfoil Interpolation'!AS28</f>
        <v>0.60814999999999997</v>
      </c>
      <c r="B26">
        <f>'Airfoil Interpolation'!AT28</f>
        <v>-3.7698333333333334E-2</v>
      </c>
      <c r="D26">
        <f t="shared" si="6"/>
        <v>0.80932070281193214</v>
      </c>
      <c r="E26">
        <f t="shared" ca="1" si="6"/>
        <v>0.21222290565986257</v>
      </c>
      <c r="F26">
        <f t="shared" si="6"/>
        <v>0.50540113541005671</v>
      </c>
      <c r="G26">
        <f t="shared" ca="1" si="6"/>
        <v>-1.1692193954875978</v>
      </c>
      <c r="J26">
        <f t="shared" si="5"/>
        <v>0</v>
      </c>
      <c r="K26" s="1">
        <f t="shared" ca="1" si="0"/>
        <v>0.60725464907988058</v>
      </c>
      <c r="L26" s="1">
        <f t="shared" ca="1" si="1"/>
        <v>-5.0104113893181187E-2</v>
      </c>
      <c r="N26" s="30">
        <f t="shared" ca="1" si="2"/>
        <v>680.47128778572653</v>
      </c>
      <c r="O26" s="23">
        <f ca="1">L26*E26*1000/COS(G26*3.14/180)-J26*E26*L2*1000/COS(3.14*G2/180)</f>
        <v>-10.635452799517443</v>
      </c>
      <c r="P26" s="24">
        <f t="shared" si="3"/>
        <v>809.32070281193216</v>
      </c>
    </row>
    <row r="27" spans="1:16">
      <c r="A27">
        <f>'Airfoil Interpolation'!AS29</f>
        <v>0.69584500000000005</v>
      </c>
      <c r="B27">
        <f>'Airfoil Interpolation'!AT29</f>
        <v>-3.1004999999999998E-2</v>
      </c>
      <c r="D27">
        <f t="shared" si="6"/>
        <v>0.80932070281193214</v>
      </c>
      <c r="E27">
        <f t="shared" ca="1" si="6"/>
        <v>0.21222290565986257</v>
      </c>
      <c r="F27">
        <f t="shared" si="6"/>
        <v>0.50540113541005671</v>
      </c>
      <c r="G27">
        <f t="shared" ca="1" si="6"/>
        <v>-1.1692193954875978</v>
      </c>
      <c r="J27">
        <f t="shared" si="5"/>
        <v>0</v>
      </c>
      <c r="K27" s="1">
        <f t="shared" ca="1" si="0"/>
        <v>0.69506791893052422</v>
      </c>
      <c r="L27" s="1">
        <f t="shared" ca="1" si="1"/>
        <v>-4.5199689424759243E-2</v>
      </c>
      <c r="N27" s="30">
        <f t="shared" ca="1" si="2"/>
        <v>699.11115214215238</v>
      </c>
      <c r="O27" s="23">
        <f ca="1">L27*E27*1000/COS(G27*3.14/180)-J27*E27*L2*1000/COS(3.14*G2/180)</f>
        <v>-9.5944050513444363</v>
      </c>
      <c r="P27" s="24">
        <f t="shared" si="3"/>
        <v>809.32070281193216</v>
      </c>
    </row>
    <row r="28" spans="1:16">
      <c r="A28">
        <f>'Airfoil Interpolation'!AS30</f>
        <v>0.78354166666666669</v>
      </c>
      <c r="B28">
        <f>'Airfoil Interpolation'!AT30</f>
        <v>-2.3388333333333334E-2</v>
      </c>
      <c r="D28">
        <f t="shared" si="6"/>
        <v>0.80932070281193214</v>
      </c>
      <c r="E28">
        <f t="shared" ca="1" si="6"/>
        <v>0.21222290565986257</v>
      </c>
      <c r="F28">
        <f t="shared" si="6"/>
        <v>0.50540113541005671</v>
      </c>
      <c r="G28">
        <f t="shared" ca="1" si="6"/>
        <v>-1.1692193954875978</v>
      </c>
      <c r="J28">
        <f t="shared" si="5"/>
        <v>0</v>
      </c>
      <c r="K28" s="1">
        <f t="shared" ca="1" si="0"/>
        <v>0.78290168645553404</v>
      </c>
      <c r="L28" s="1">
        <f t="shared" ca="1" si="1"/>
        <v>-3.9371965621690028E-2</v>
      </c>
      <c r="N28" s="30">
        <f t="shared" ca="1" si="2"/>
        <v>717.7553674795912</v>
      </c>
      <c r="O28" s="23">
        <f ca="1">L28*E28*1000/COS(G28*3.14/180)-J28*E28*L2*1000/COS(3.14*G2/180)</f>
        <v>-8.357371270679133</v>
      </c>
      <c r="P28" s="24">
        <f t="shared" si="3"/>
        <v>809.32070281193216</v>
      </c>
    </row>
    <row r="29" spans="1:16">
      <c r="A29">
        <f>'Airfoil Interpolation'!AS31</f>
        <v>0.87115166666666666</v>
      </c>
      <c r="B29">
        <f>'Airfoil Interpolation'!AT31</f>
        <v>-1.4880000000000001E-2</v>
      </c>
      <c r="D29">
        <f t="shared" si="6"/>
        <v>0.80932070281193214</v>
      </c>
      <c r="E29">
        <f t="shared" ca="1" si="6"/>
        <v>0.21222290565986257</v>
      </c>
      <c r="F29">
        <f t="shared" si="6"/>
        <v>0.50540113541005671</v>
      </c>
      <c r="G29">
        <f t="shared" ca="1" si="6"/>
        <v>-1.1692193954875978</v>
      </c>
      <c r="J29">
        <f t="shared" si="5"/>
        <v>0</v>
      </c>
      <c r="K29" s="1">
        <f t="shared" ca="1" si="0"/>
        <v>0.87066699085414889</v>
      </c>
      <c r="L29" s="1">
        <f t="shared" ca="1" si="1"/>
        <v>-3.2650807220278542E-2</v>
      </c>
      <c r="N29" s="30">
        <f t="shared" ca="1" si="2"/>
        <v>736.38505035067737</v>
      </c>
      <c r="O29" s="23">
        <f ca="1">L29*E29*1000/COS(G29*3.14/180)-J29*E29*L2*1000/COS(3.14*G2/180)</f>
        <v>-6.9306907572049656</v>
      </c>
      <c r="P29" s="24">
        <f t="shared" si="3"/>
        <v>809.32070281193216</v>
      </c>
    </row>
    <row r="30" spans="1:16">
      <c r="A30">
        <f>'Airfoil Interpolation'!AS32</f>
        <v>0.95706333333333338</v>
      </c>
      <c r="B30">
        <f>'Airfoil Interpolation'!AT32</f>
        <v>-5.7099999999999998E-3</v>
      </c>
      <c r="D30">
        <f t="shared" si="6"/>
        <v>0.80932070281193214</v>
      </c>
      <c r="E30">
        <f t="shared" ca="1" si="6"/>
        <v>0.21222290565986257</v>
      </c>
      <c r="F30">
        <f t="shared" si="6"/>
        <v>0.50540113541005671</v>
      </c>
      <c r="G30">
        <f t="shared" ca="1" si="6"/>
        <v>-1.1692193954875978</v>
      </c>
      <c r="J30">
        <f t="shared" si="5"/>
        <v>0</v>
      </c>
      <c r="K30" s="1">
        <f t="shared" ca="1" si="0"/>
        <v>0.95674780984198049</v>
      </c>
      <c r="L30" s="1">
        <f t="shared" ca="1" si="1"/>
        <v>-2.5233337491095711E-2</v>
      </c>
      <c r="N30" s="30">
        <f t="shared" ca="1" si="2"/>
        <v>754.65717246106317</v>
      </c>
      <c r="O30" s="23">
        <f ca="1">L30*E30*1000/COS(G30*3.14/180)-J30*E30*L2*1000/COS(3.14*G2/180)</f>
        <v>-5.356206287431525</v>
      </c>
      <c r="P30" s="24">
        <f t="shared" si="3"/>
        <v>809.32070281193216</v>
      </c>
    </row>
    <row r="31" spans="1:16" ht="15" thickBot="1">
      <c r="A31">
        <f>'Airfoil Interpolation'!AS33</f>
        <v>1</v>
      </c>
      <c r="B31">
        <f>'Airfoil Interpolation'!AT33</f>
        <v>-8.516666666666667E-4</v>
      </c>
      <c r="D31">
        <f t="shared" si="6"/>
        <v>0.80932070281193214</v>
      </c>
      <c r="E31">
        <f t="shared" ca="1" si="6"/>
        <v>0.21222290565986257</v>
      </c>
      <c r="F31">
        <f t="shared" si="6"/>
        <v>0.50540113541005671</v>
      </c>
      <c r="G31">
        <f t="shared" ca="1" si="6"/>
        <v>-1.1692193954875978</v>
      </c>
      <c r="J31">
        <f t="shared" si="5"/>
        <v>0</v>
      </c>
      <c r="K31" s="1">
        <f t="shared" ca="1" si="0"/>
        <v>0.99977463128063493</v>
      </c>
      <c r="L31" s="1">
        <f t="shared" ca="1" si="1"/>
        <v>-2.1250878308281165E-2</v>
      </c>
      <c r="N31" s="31">
        <f t="shared" ca="1" si="2"/>
        <v>763.79034921975551</v>
      </c>
      <c r="O31" s="32">
        <f ca="1">L31*E31*1000/COS(G31*3.14/180)-J31*E31*L2*1000/COS(3.14*G2/180)</f>
        <v>-4.510861397087238</v>
      </c>
      <c r="P31" s="33">
        <f t="shared" si="3"/>
        <v>809.32070281193216</v>
      </c>
    </row>
  </sheetData>
  <pageMargins left="0.7" right="0.7" top="0.75" bottom="0.75" header="0.3" footer="0.3"/>
  <drawing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opLeftCell="A16" workbookViewId="0">
      <selection activeCell="A2" sqref="A2"/>
    </sheetView>
  </sheetViews>
  <sheetFormatPr baseColWidth="10" defaultColWidth="8.83203125" defaultRowHeight="14" x14ac:dyDescent="0"/>
  <sheetData>
    <row r="1" spans="1:16" ht="15" thickBot="1">
      <c r="A1">
        <v>12</v>
      </c>
      <c r="D1" t="s">
        <v>0</v>
      </c>
      <c r="E1" t="s">
        <v>1</v>
      </c>
      <c r="F1" t="s">
        <v>2</v>
      </c>
      <c r="G1" t="s">
        <v>5</v>
      </c>
      <c r="J1" t="s">
        <v>10</v>
      </c>
      <c r="K1" t="s">
        <v>9</v>
      </c>
      <c r="N1" s="6" t="s">
        <v>6</v>
      </c>
      <c r="O1" s="6" t="s">
        <v>7</v>
      </c>
      <c r="P1" s="6" t="s">
        <v>8</v>
      </c>
    </row>
    <row r="2" spans="1:16">
      <c r="A2">
        <f>'Airfoil Interpolation'!AW4</f>
        <v>1</v>
      </c>
      <c r="B2">
        <f>'Airfoil Interpolation'!AX4</f>
        <v>1.0499999999999999E-3</v>
      </c>
      <c r="D2" s="4">
        <f>'Loft Viewer'!M5</f>
        <v>0.89025277309312534</v>
      </c>
      <c r="E2" s="4">
        <f ca="1">'Loft Viewer'!M6</f>
        <v>0.1728100803230308</v>
      </c>
      <c r="F2" s="4">
        <f>'Loft Viewer'!M7</f>
        <v>0.55594124895106234</v>
      </c>
      <c r="G2" s="4">
        <f ca="1">-'Loft Viewer'!M8</f>
        <v>1.1275666166110274</v>
      </c>
      <c r="J2">
        <f>'Loft Viewer'!B2</f>
        <v>0</v>
      </c>
      <c r="K2" s="1">
        <f ca="1">((A2)*COS(3.14*G2/180)-B2*SIN(3.14*G2/180))</f>
        <v>0.99978590431808656</v>
      </c>
      <c r="L2" s="1">
        <f ca="1">((A2)*SIN(3.14*G2/180)+B2*COS(3.14*G2/180))/COS(3.14*G2/180)</f>
        <v>2.0722310338467453E-2</v>
      </c>
      <c r="N2" s="27">
        <f ca="1">K2*E2*1000/COS(G2*3.14/180)+F2*1000</f>
        <v>779.53475440680666</v>
      </c>
      <c r="O2" s="28">
        <f ca="1">L2*E2*1000/COS(G2*3.14/180)-J2*E2*L2*1000/COS(3.14*G2/180)</f>
        <v>3.5817169748388946</v>
      </c>
      <c r="P2" s="29">
        <f>D2*1000</f>
        <v>890.25277309312537</v>
      </c>
    </row>
    <row r="3" spans="1:16">
      <c r="A3">
        <f>'Airfoil Interpolation'!AW5</f>
        <v>0.95823000000000003</v>
      </c>
      <c r="B3">
        <f>'Airfoil Interpolation'!AX5</f>
        <v>5.8100000000000001E-3</v>
      </c>
      <c r="D3">
        <f>D2</f>
        <v>0.89025277309312534</v>
      </c>
      <c r="E3">
        <f ca="1">E2</f>
        <v>0.1728100803230308</v>
      </c>
      <c r="F3">
        <f>F2</f>
        <v>0.55594124895106234</v>
      </c>
      <c r="G3">
        <f ca="1">G2</f>
        <v>1.1275666166110274</v>
      </c>
      <c r="J3">
        <f>J2</f>
        <v>0</v>
      </c>
      <c r="K3" s="1">
        <f t="shared" ref="K3:K31" ca="1" si="0">((A3)*COS(3.14*G3/180)-B3*SIN(3.14*G3/180))</f>
        <v>0.9579303623805</v>
      </c>
      <c r="L3" s="1">
        <f t="shared" ref="L3:L31" ca="1" si="1">((A3)*SIN(3.14*G3/180)+B3*COS(3.14*G3/180))/COS(3.14*G3/180)</f>
        <v>2.466059793562967E-2</v>
      </c>
      <c r="N3" s="30">
        <f t="shared" ref="N3:N31" ca="1" si="2">K3*E3*1000/COS(G3*3.14/180)+F3*1000</f>
        <v>772.3002953817122</v>
      </c>
      <c r="O3" s="23">
        <f ca="1">L3*E3*1000/COS(G3*3.14/180)-J3*E3*L2*1000/COS(3.14*G2/180)</f>
        <v>4.2624244494474723</v>
      </c>
      <c r="P3" s="24">
        <f t="shared" ref="P3:P31" si="3">D3*1000</f>
        <v>890.25277309312537</v>
      </c>
    </row>
    <row r="4" spans="1:16">
      <c r="A4">
        <f>'Airfoil Interpolation'!AW6</f>
        <v>0.87217999999999996</v>
      </c>
      <c r="B4">
        <f>'Airfoil Interpolation'!AX6</f>
        <v>1.49E-2</v>
      </c>
      <c r="D4">
        <f t="shared" ref="D4:G19" si="4">D3</f>
        <v>0.89025277309312534</v>
      </c>
      <c r="E4">
        <f t="shared" ca="1" si="4"/>
        <v>0.1728100803230308</v>
      </c>
      <c r="F4">
        <f t="shared" si="4"/>
        <v>0.55594124895106234</v>
      </c>
      <c r="G4">
        <f t="shared" ca="1" si="4"/>
        <v>1.1275666166110274</v>
      </c>
      <c r="J4">
        <f t="shared" ref="J4:J31" si="5">J3</f>
        <v>0</v>
      </c>
      <c r="K4" s="1">
        <f t="shared" ca="1" si="0"/>
        <v>0.87171822150623057</v>
      </c>
      <c r="L4" s="1">
        <f t="shared" ca="1" si="1"/>
        <v>3.205779563100454E-2</v>
      </c>
      <c r="N4" s="30">
        <f t="shared" ca="1" si="2"/>
        <v>757.39908584653006</v>
      </c>
      <c r="O4" s="23">
        <f ca="1">L4*E4*1000/COS(G4*3.14/180)-J4*E4*L2*1000/COS(3.14*G2/180)</f>
        <v>5.5409821063406062</v>
      </c>
      <c r="P4" s="24">
        <f t="shared" si="3"/>
        <v>890.25277309312537</v>
      </c>
    </row>
    <row r="5" spans="1:16">
      <c r="A5">
        <f>'Airfoil Interpolation'!AW7</f>
        <v>0.78420000000000001</v>
      </c>
      <c r="B5">
        <f>'Airfoil Interpolation'!AX7</f>
        <v>2.3300000000000001E-2</v>
      </c>
      <c r="D5">
        <f t="shared" si="4"/>
        <v>0.89025277309312534</v>
      </c>
      <c r="E5">
        <f t="shared" ca="1" si="4"/>
        <v>0.1728100803230308</v>
      </c>
      <c r="F5">
        <f t="shared" si="4"/>
        <v>0.55594124895106234</v>
      </c>
      <c r="G5">
        <f t="shared" ca="1" si="4"/>
        <v>1.1275666166110274</v>
      </c>
      <c r="J5">
        <f t="shared" si="5"/>
        <v>0</v>
      </c>
      <c r="K5" s="1">
        <f t="shared" ca="1" si="0"/>
        <v>0.7835900252467507</v>
      </c>
      <c r="L5" s="1">
        <f t="shared" ca="1" si="1"/>
        <v>3.8727025767426176E-2</v>
      </c>
      <c r="N5" s="30">
        <f t="shared" ca="1" si="2"/>
        <v>742.16669856206011</v>
      </c>
      <c r="O5" s="23">
        <f ca="1">L5*E5*1000/COS(G5*3.14/180)-J5*E5*L2*1000/COS(3.14*G2/180)</f>
        <v>6.6937152909404807</v>
      </c>
      <c r="P5" s="24">
        <f t="shared" si="3"/>
        <v>890.25277309312537</v>
      </c>
    </row>
    <row r="6" spans="1:16">
      <c r="A6">
        <f>'Airfoil Interpolation'!AW8</f>
        <v>0.69613000000000003</v>
      </c>
      <c r="B6">
        <f>'Airfoil Interpolation'!AX8</f>
        <v>3.0849999999999999E-2</v>
      </c>
      <c r="D6">
        <f t="shared" si="4"/>
        <v>0.89025277309312534</v>
      </c>
      <c r="E6">
        <f t="shared" ca="1" si="4"/>
        <v>0.1728100803230308</v>
      </c>
      <c r="F6">
        <f t="shared" si="4"/>
        <v>0.55594124895106234</v>
      </c>
      <c r="G6">
        <f t="shared" ca="1" si="4"/>
        <v>1.1275666166110274</v>
      </c>
      <c r="J6">
        <f t="shared" si="5"/>
        <v>0</v>
      </c>
      <c r="K6" s="1">
        <f t="shared" ca="1" si="0"/>
        <v>0.69538856462633358</v>
      </c>
      <c r="L6" s="1">
        <f t="shared" ca="1" si="1"/>
        <v>4.4544485395917349E-2</v>
      </c>
      <c r="N6" s="30">
        <f t="shared" ca="1" si="2"/>
        <v>726.92164800786134</v>
      </c>
      <c r="O6" s="23">
        <f ca="1">L6*E6*1000/COS(G6*3.14/180)-J6*E6*L2*1000/COS(3.14*G2/180)</f>
        <v>7.6992254662768378</v>
      </c>
      <c r="P6" s="24">
        <f t="shared" si="3"/>
        <v>890.25277309312537</v>
      </c>
    </row>
    <row r="7" spans="1:16">
      <c r="A7">
        <f>'Airfoil Interpolation'!AW9</f>
        <v>0.60809000000000002</v>
      </c>
      <c r="B7">
        <f>'Airfoil Interpolation'!AX9</f>
        <v>3.7470000000000003E-2</v>
      </c>
      <c r="D7">
        <f t="shared" si="4"/>
        <v>0.89025277309312534</v>
      </c>
      <c r="E7">
        <f t="shared" ca="1" si="4"/>
        <v>0.1728100803230308</v>
      </c>
      <c r="F7">
        <f t="shared" si="4"/>
        <v>0.55594124895106234</v>
      </c>
      <c r="G7">
        <f t="shared" ca="1" si="4"/>
        <v>1.1275666166110274</v>
      </c>
      <c r="J7">
        <f t="shared" si="5"/>
        <v>0</v>
      </c>
      <c r="K7" s="1">
        <f t="shared" ca="1" si="0"/>
        <v>0.60723538991211712</v>
      </c>
      <c r="L7" s="1">
        <f t="shared" ca="1" si="1"/>
        <v>4.9432535193718673E-2</v>
      </c>
      <c r="N7" s="30">
        <f t="shared" ca="1" si="2"/>
        <v>711.68494335945491</v>
      </c>
      <c r="O7" s="23">
        <f ca="1">L7*E7*1000/COS(G7*3.14/180)-J7*E7*L2*1000/COS(3.14*G2/180)</f>
        <v>8.5440931788379668</v>
      </c>
      <c r="P7" s="24">
        <f t="shared" si="3"/>
        <v>890.25277309312537</v>
      </c>
    </row>
    <row r="8" spans="1:16">
      <c r="A8">
        <f>'Airfoil Interpolation'!AW10</f>
        <v>0.52019000000000004</v>
      </c>
      <c r="B8">
        <f>'Airfoil Interpolation'!AX10</f>
        <v>4.3020000000000003E-2</v>
      </c>
      <c r="D8">
        <f t="shared" si="4"/>
        <v>0.89025277309312534</v>
      </c>
      <c r="E8">
        <f t="shared" ca="1" si="4"/>
        <v>0.1728100803230308</v>
      </c>
      <c r="F8">
        <f t="shared" si="4"/>
        <v>0.55594124895106234</v>
      </c>
      <c r="G8">
        <f t="shared" ca="1" si="4"/>
        <v>1.1275666166110274</v>
      </c>
      <c r="J8">
        <f t="shared" si="5"/>
        <v>0</v>
      </c>
      <c r="K8" s="1">
        <f t="shared" ca="1" si="0"/>
        <v>0.51924323341596812</v>
      </c>
      <c r="L8" s="1">
        <f t="shared" ca="1" si="1"/>
        <v>5.3253339114967387E-2</v>
      </c>
      <c r="N8" s="30">
        <f t="shared" ca="1" si="2"/>
        <v>696.4760696659705</v>
      </c>
      <c r="O8" s="23">
        <f ca="1">L8*E8*1000/COS(G8*3.14/180)-J8*E8*L2*1000/COS(3.14*G2/180)</f>
        <v>9.2044943618500561</v>
      </c>
      <c r="P8" s="24">
        <f t="shared" si="3"/>
        <v>890.25277309312537</v>
      </c>
    </row>
    <row r="9" spans="1:16">
      <c r="A9">
        <f>'Airfoil Interpolation'!AW11</f>
        <v>0.43256</v>
      </c>
      <c r="B9">
        <f>'Airfoil Interpolation'!AX11</f>
        <v>4.7219999999999998E-2</v>
      </c>
      <c r="D9">
        <f t="shared" si="4"/>
        <v>0.89025277309312534</v>
      </c>
      <c r="E9">
        <f t="shared" ca="1" si="4"/>
        <v>0.1728100803230308</v>
      </c>
      <c r="F9">
        <f t="shared" si="4"/>
        <v>0.55594124895106234</v>
      </c>
      <c r="G9">
        <f t="shared" ca="1" si="4"/>
        <v>1.1275666166110274</v>
      </c>
      <c r="J9">
        <f t="shared" si="5"/>
        <v>0</v>
      </c>
      <c r="K9" s="1">
        <f t="shared" ca="1" si="0"/>
        <v>0.43154757717155745</v>
      </c>
      <c r="L9" s="1">
        <f t="shared" ca="1" si="1"/>
        <v>5.5729454560007476E-2</v>
      </c>
      <c r="N9" s="30">
        <f t="shared" ca="1" si="2"/>
        <v>681.31844411843838</v>
      </c>
      <c r="O9" s="23">
        <f ca="1">L9*E9*1000/COS(G9*3.14/180)-J9*E9*L2*1000/COS(3.14*G2/180)</f>
        <v>9.6324748609499817</v>
      </c>
      <c r="P9" s="24">
        <f t="shared" si="3"/>
        <v>890.25277309312537</v>
      </c>
    </row>
    <row r="10" spans="1:16">
      <c r="A10">
        <f>'Airfoil Interpolation'!AW12</f>
        <v>0.34539999999999998</v>
      </c>
      <c r="B10">
        <f>'Airfoil Interpolation'!AX12</f>
        <v>4.965E-2</v>
      </c>
      <c r="D10">
        <f t="shared" si="4"/>
        <v>0.89025277309312534</v>
      </c>
      <c r="E10">
        <f t="shared" ca="1" si="4"/>
        <v>0.1728100803230308</v>
      </c>
      <c r="F10">
        <f t="shared" si="4"/>
        <v>0.55594124895106234</v>
      </c>
      <c r="G10">
        <f t="shared" ca="1" si="4"/>
        <v>1.1275666166110274</v>
      </c>
      <c r="J10">
        <f t="shared" si="5"/>
        <v>0</v>
      </c>
      <c r="K10" s="1">
        <f t="shared" ca="1" si="0"/>
        <v>0.34435664326217319</v>
      </c>
      <c r="L10" s="1">
        <f t="shared" ca="1" si="1"/>
        <v>5.6444815990906658E-2</v>
      </c>
      <c r="N10" s="30">
        <f t="shared" ca="1" si="2"/>
        <v>666.24805655380578</v>
      </c>
      <c r="O10" s="23">
        <f ca="1">L10*E10*1000/COS(G10*3.14/180)-J10*E10*L2*1000/COS(3.14*G2/180)</f>
        <v>9.7561204457494846</v>
      </c>
      <c r="P10" s="24">
        <f t="shared" si="3"/>
        <v>890.25277309312537</v>
      </c>
    </row>
    <row r="11" spans="1:16">
      <c r="A11">
        <f>'Airfoil Interpolation'!AW13</f>
        <v>0.25903999999999999</v>
      </c>
      <c r="B11">
        <f>'Airfoil Interpolation'!AX13</f>
        <v>4.9680000000000002E-2</v>
      </c>
      <c r="D11">
        <f t="shared" si="4"/>
        <v>0.89025277309312534</v>
      </c>
      <c r="E11">
        <f t="shared" ca="1" si="4"/>
        <v>0.1728100803230308</v>
      </c>
      <c r="F11">
        <f t="shared" si="4"/>
        <v>0.55594124895106234</v>
      </c>
      <c r="G11">
        <f t="shared" ca="1" si="4"/>
        <v>1.1275666166110274</v>
      </c>
      <c r="J11">
        <f t="shared" si="5"/>
        <v>0</v>
      </c>
      <c r="K11" s="1">
        <f t="shared" ca="1" si="0"/>
        <v>0.2580127590094346</v>
      </c>
      <c r="L11" s="1">
        <f t="shared" ca="1" si="1"/>
        <v>5.4775915270076608E-2</v>
      </c>
      <c r="N11" s="30">
        <f t="shared" ca="1" si="2"/>
        <v>651.32407602990293</v>
      </c>
      <c r="O11" s="23">
        <f ca="1">L11*E11*1000/COS(G11*3.14/180)-J11*E11*L2*1000/COS(3.14*G2/180)</f>
        <v>9.4676617776046701</v>
      </c>
      <c r="P11" s="24">
        <f t="shared" si="3"/>
        <v>890.25277309312537</v>
      </c>
    </row>
    <row r="12" spans="1:16">
      <c r="A12">
        <f>'Airfoil Interpolation'!AW14</f>
        <v>0.17424999999999999</v>
      </c>
      <c r="B12">
        <f>'Airfoil Interpolation'!AX14</f>
        <v>4.6359999999999998E-2</v>
      </c>
      <c r="D12">
        <f t="shared" si="4"/>
        <v>0.89025277309312534</v>
      </c>
      <c r="E12">
        <f t="shared" ca="1" si="4"/>
        <v>0.1728100803230308</v>
      </c>
      <c r="F12">
        <f t="shared" si="4"/>
        <v>0.55594124895106234</v>
      </c>
      <c r="G12">
        <f t="shared" ca="1" si="4"/>
        <v>1.1275666166110274</v>
      </c>
      <c r="J12">
        <f t="shared" si="5"/>
        <v>0</v>
      </c>
      <c r="K12" s="1">
        <f t="shared" ca="1" si="0"/>
        <v>0.17330446054126303</v>
      </c>
      <c r="L12" s="1">
        <f t="shared" ca="1" si="1"/>
        <v>4.9787900076477952E-2</v>
      </c>
      <c r="N12" s="30">
        <f t="shared" ca="1" si="2"/>
        <v>636.68279590343184</v>
      </c>
      <c r="O12" s="23">
        <f ca="1">L12*E12*1000/COS(G12*3.14/180)-J12*E12*L2*1000/COS(3.14*G2/180)</f>
        <v>8.605515694573473</v>
      </c>
      <c r="P12" s="24">
        <f t="shared" si="3"/>
        <v>890.25277309312537</v>
      </c>
    </row>
    <row r="13" spans="1:16">
      <c r="A13">
        <f>'Airfoil Interpolation'!AW15</f>
        <v>9.3899999999999997E-2</v>
      </c>
      <c r="B13">
        <f>'Airfoil Interpolation'!AX15</f>
        <v>3.814E-2</v>
      </c>
      <c r="D13">
        <f t="shared" si="4"/>
        <v>0.89025277309312534</v>
      </c>
      <c r="E13">
        <f t="shared" ca="1" si="4"/>
        <v>0.1728100803230308</v>
      </c>
      <c r="F13">
        <f t="shared" si="4"/>
        <v>0.55594124895106234</v>
      </c>
      <c r="G13">
        <f t="shared" ca="1" si="4"/>
        <v>1.1275666166110274</v>
      </c>
      <c r="J13">
        <f t="shared" si="5"/>
        <v>0</v>
      </c>
      <c r="K13" s="1">
        <f t="shared" ca="1" si="0"/>
        <v>9.3131678856612832E-2</v>
      </c>
      <c r="L13" s="1">
        <f t="shared" ca="1" si="1"/>
        <v>3.998722994078209E-2</v>
      </c>
      <c r="N13" s="30">
        <f t="shared" ca="1" si="2"/>
        <v>622.82545044389076</v>
      </c>
      <c r="O13" s="23">
        <f ca="1">L13*E13*1000/COS(G13*3.14/180)-J13*E13*L2*1000/COS(3.14*G2/180)</f>
        <v>6.9115334109158768</v>
      </c>
      <c r="P13" s="24">
        <f t="shared" si="3"/>
        <v>890.25277309312537</v>
      </c>
    </row>
    <row r="14" spans="1:16">
      <c r="A14">
        <f>'Airfoil Interpolation'!AW16</f>
        <v>3.5589999999999997E-2</v>
      </c>
      <c r="B14">
        <f>'Airfoil Interpolation'!AX16</f>
        <v>2.555E-2</v>
      </c>
      <c r="D14">
        <f t="shared" si="4"/>
        <v>0.89025277309312534</v>
      </c>
      <c r="E14">
        <f t="shared" ca="1" si="4"/>
        <v>0.1728100803230308</v>
      </c>
      <c r="F14">
        <f t="shared" si="4"/>
        <v>0.55594124895106234</v>
      </c>
      <c r="G14">
        <f t="shared" ca="1" si="4"/>
        <v>1.1275666166110274</v>
      </c>
      <c r="J14">
        <f t="shared" si="5"/>
        <v>0</v>
      </c>
      <c r="K14" s="1">
        <f t="shared" ca="1" si="0"/>
        <v>3.5080585037879961E-2</v>
      </c>
      <c r="L14" s="1">
        <f t="shared" ca="1" si="1"/>
        <v>2.6250137524946059E-2</v>
      </c>
      <c r="N14" s="30">
        <f t="shared" ca="1" si="2"/>
        <v>612.79169529099408</v>
      </c>
      <c r="O14" s="23">
        <f ca="1">L14*E14*1000/COS(G14*3.14/180)-J14*E14*L2*1000/COS(3.14*G2/180)</f>
        <v>4.5371660606019164</v>
      </c>
      <c r="P14" s="24">
        <f t="shared" si="3"/>
        <v>890.25277309312537</v>
      </c>
    </row>
    <row r="15" spans="1:16">
      <c r="A15">
        <f>'Airfoil Interpolation'!AW17</f>
        <v>1.077E-2</v>
      </c>
      <c r="B15">
        <f>'Airfoil Interpolation'!AX17</f>
        <v>1.4710000000000001E-2</v>
      </c>
      <c r="D15">
        <f t="shared" si="4"/>
        <v>0.89025277309312534</v>
      </c>
      <c r="E15">
        <f t="shared" ca="1" si="4"/>
        <v>0.1728100803230308</v>
      </c>
      <c r="F15">
        <f t="shared" si="4"/>
        <v>0.55594124895106234</v>
      </c>
      <c r="G15">
        <f t="shared" ca="1" si="4"/>
        <v>1.1275666166110274</v>
      </c>
      <c r="J15">
        <f t="shared" si="5"/>
        <v>0</v>
      </c>
      <c r="K15" s="1">
        <f t="shared" ca="1" si="0"/>
        <v>1.0478592904406047E-2</v>
      </c>
      <c r="L15" s="1">
        <f t="shared" ca="1" si="1"/>
        <v>1.4921870782345295E-2</v>
      </c>
      <c r="N15" s="30">
        <f t="shared" ca="1" si="2"/>
        <v>608.53940047443871</v>
      </c>
      <c r="O15" s="23">
        <f ca="1">L15*E15*1000/COS(G15*3.14/180)-J15*E15*L2*1000/COS(3.14*G2/180)</f>
        <v>2.5791486086503297</v>
      </c>
      <c r="P15" s="24">
        <f t="shared" si="3"/>
        <v>890.25277309312537</v>
      </c>
    </row>
    <row r="16" spans="1:16">
      <c r="A16">
        <f>'Airfoil Interpolation'!AW18</f>
        <v>1.1199999999999999E-3</v>
      </c>
      <c r="B16">
        <f>'Airfoil Interpolation'!AX18</f>
        <v>4.8999999999999998E-3</v>
      </c>
      <c r="D16">
        <f t="shared" si="4"/>
        <v>0.89025277309312534</v>
      </c>
      <c r="E16">
        <f t="shared" ca="1" si="4"/>
        <v>0.1728100803230308</v>
      </c>
      <c r="F16">
        <f t="shared" si="4"/>
        <v>0.55594124895106234</v>
      </c>
      <c r="G16">
        <f t="shared" ca="1" si="4"/>
        <v>1.1275666166110274</v>
      </c>
      <c r="J16">
        <f t="shared" si="5"/>
        <v>0</v>
      </c>
      <c r="K16" s="1">
        <f t="shared" ca="1" si="0"/>
        <v>1.0234076692185155E-3</v>
      </c>
      <c r="L16" s="1">
        <f t="shared" ca="1" si="1"/>
        <v>4.9220329875790834E-3</v>
      </c>
      <c r="N16" s="30">
        <f t="shared" ca="1" si="2"/>
        <v>606.90513301564818</v>
      </c>
      <c r="O16" s="23">
        <f ca="1">L16*E16*1000/COS(G16*3.14/180)-J16*E16*L2*1000/COS(3.14*G2/180)</f>
        <v>0.85074148656113613</v>
      </c>
      <c r="P16" s="24">
        <f t="shared" si="3"/>
        <v>890.25277309312537</v>
      </c>
    </row>
    <row r="17" spans="1:16">
      <c r="A17">
        <f>'Airfoil Interpolation'!AW19</f>
        <v>1.1199999999999999E-3</v>
      </c>
      <c r="B17">
        <f>'Airfoil Interpolation'!AX19</f>
        <v>-4.8999999999999998E-3</v>
      </c>
      <c r="D17">
        <f t="shared" si="4"/>
        <v>0.89025277309312534</v>
      </c>
      <c r="E17">
        <f t="shared" ca="1" si="4"/>
        <v>0.1728100803230308</v>
      </c>
      <c r="F17">
        <f t="shared" si="4"/>
        <v>0.55594124895106234</v>
      </c>
      <c r="G17">
        <f t="shared" ca="1" si="4"/>
        <v>1.1275666166110274</v>
      </c>
      <c r="J17">
        <f t="shared" si="5"/>
        <v>0</v>
      </c>
      <c r="K17" s="1">
        <f t="shared" ca="1" si="0"/>
        <v>1.2161590167774122E-3</v>
      </c>
      <c r="L17" s="1">
        <f t="shared" ca="1" si="1"/>
        <v>-4.8779670124209163E-3</v>
      </c>
      <c r="N17" s="30">
        <f t="shared" ca="1" si="2"/>
        <v>606.93844883623956</v>
      </c>
      <c r="O17" s="23">
        <f ca="1">L17*E17*1000/COS(G17*3.14/180)-J17*E17*L2*1000/COS(3.14*G2/180)</f>
        <v>-0.84312496848670848</v>
      </c>
      <c r="P17" s="24">
        <f t="shared" si="3"/>
        <v>890.25277309312537</v>
      </c>
    </row>
    <row r="18" spans="1:16">
      <c r="A18">
        <f>'Airfoil Interpolation'!AW20</f>
        <v>1.077E-2</v>
      </c>
      <c r="B18">
        <f>'Airfoil Interpolation'!AX20</f>
        <v>-1.4710000000000001E-2</v>
      </c>
      <c r="D18">
        <f t="shared" si="4"/>
        <v>0.89025277309312534</v>
      </c>
      <c r="E18">
        <f t="shared" ca="1" si="4"/>
        <v>0.1728100803230308</v>
      </c>
      <c r="F18">
        <f t="shared" si="4"/>
        <v>0.55594124895106234</v>
      </c>
      <c r="G18">
        <f t="shared" ca="1" si="4"/>
        <v>1.1275666166110274</v>
      </c>
      <c r="J18">
        <f t="shared" si="5"/>
        <v>0</v>
      </c>
      <c r="K18" s="1">
        <f t="shared" ca="1" si="0"/>
        <v>1.1057240317179797E-2</v>
      </c>
      <c r="L18" s="1">
        <f t="shared" ca="1" si="1"/>
        <v>-1.4498129217654707E-2</v>
      </c>
      <c r="N18" s="30">
        <f t="shared" ca="1" si="2"/>
        <v>608.63941592768344</v>
      </c>
      <c r="O18" s="23">
        <f ca="1">L18*E18*1000/COS(G18*3.14/180)-J18*E18*L2*1000/COS(3.14*G2/180)</f>
        <v>-2.5059076268096288</v>
      </c>
      <c r="P18" s="24">
        <f t="shared" si="3"/>
        <v>890.25277309312537</v>
      </c>
    </row>
    <row r="19" spans="1:16">
      <c r="A19">
        <f>'Airfoil Interpolation'!AW21</f>
        <v>3.5589999999999997E-2</v>
      </c>
      <c r="B19">
        <f>'Airfoil Interpolation'!AX21</f>
        <v>-2.555E-2</v>
      </c>
      <c r="D19">
        <f t="shared" si="4"/>
        <v>0.89025277309312534</v>
      </c>
      <c r="E19">
        <f t="shared" ca="1" si="4"/>
        <v>0.1728100803230308</v>
      </c>
      <c r="F19">
        <f t="shared" si="4"/>
        <v>0.55594124895106234</v>
      </c>
      <c r="G19">
        <f t="shared" ca="1" si="4"/>
        <v>1.1275666166110274</v>
      </c>
      <c r="J19">
        <f t="shared" si="5"/>
        <v>0</v>
      </c>
      <c r="K19" s="1">
        <f t="shared" ca="1" si="0"/>
        <v>3.6085645635865637E-2</v>
      </c>
      <c r="L19" s="1">
        <f t="shared" ca="1" si="1"/>
        <v>-2.4849862475053944E-2</v>
      </c>
      <c r="N19" s="30">
        <f t="shared" ca="1" si="2"/>
        <v>612.96541349836332</v>
      </c>
      <c r="O19" s="23">
        <f ca="1">L19*E19*1000/COS(G19*3.14/180)-J19*E19*L2*1000/COS(3.14*G2/180)</f>
        <v>-4.2951375978618449</v>
      </c>
      <c r="P19" s="24">
        <f t="shared" si="3"/>
        <v>890.25277309312537</v>
      </c>
    </row>
    <row r="20" spans="1:16">
      <c r="A20">
        <f>'Airfoil Interpolation'!AW22</f>
        <v>9.3899999999999997E-2</v>
      </c>
      <c r="B20">
        <f>'Airfoil Interpolation'!AX22</f>
        <v>-3.814E-2</v>
      </c>
      <c r="D20">
        <f t="shared" ref="D20:G31" si="6">D19</f>
        <v>0.89025277309312534</v>
      </c>
      <c r="E20">
        <f t="shared" ca="1" si="6"/>
        <v>0.1728100803230308</v>
      </c>
      <c r="F20">
        <f t="shared" si="6"/>
        <v>0.55594124895106234</v>
      </c>
      <c r="G20">
        <f t="shared" ca="1" si="6"/>
        <v>1.1275666166110274</v>
      </c>
      <c r="J20">
        <f t="shared" si="5"/>
        <v>0</v>
      </c>
      <c r="K20" s="1">
        <f t="shared" ca="1" si="0"/>
        <v>9.4631992406795762E-2</v>
      </c>
      <c r="L20" s="1">
        <f t="shared" ca="1" si="1"/>
        <v>-3.629277005921791E-2</v>
      </c>
      <c r="N20" s="30">
        <f t="shared" ca="1" si="2"/>
        <v>623.08476991273858</v>
      </c>
      <c r="O20" s="23">
        <f ca="1">L20*E20*1000/COS(G20*3.14/180)-J20*E20*L2*1000/COS(3.14*G2/180)</f>
        <v>-6.2729699759259185</v>
      </c>
      <c r="P20" s="24">
        <f t="shared" si="3"/>
        <v>890.25277309312537</v>
      </c>
    </row>
    <row r="21" spans="1:16">
      <c r="A21">
        <f>'Airfoil Interpolation'!AW23</f>
        <v>0.17424999999999999</v>
      </c>
      <c r="B21">
        <f>'Airfoil Interpolation'!AX23</f>
        <v>-4.6359999999999998E-2</v>
      </c>
      <c r="D21">
        <f t="shared" si="6"/>
        <v>0.89025277309312534</v>
      </c>
      <c r="E21">
        <f t="shared" ca="1" si="6"/>
        <v>0.1728100803230308</v>
      </c>
      <c r="F21">
        <f t="shared" si="6"/>
        <v>0.55594124895106234</v>
      </c>
      <c r="G21">
        <f t="shared" ca="1" si="6"/>
        <v>1.1275666166110274</v>
      </c>
      <c r="J21">
        <f t="shared" si="5"/>
        <v>0</v>
      </c>
      <c r="K21" s="1">
        <f t="shared" ca="1" si="0"/>
        <v>0.17512812431122843</v>
      </c>
      <c r="L21" s="1">
        <f t="shared" ca="1" si="1"/>
        <v>-4.2932099923522045E-2</v>
      </c>
      <c r="N21" s="30">
        <f t="shared" ca="1" si="2"/>
        <v>636.99800436110843</v>
      </c>
      <c r="O21" s="23">
        <f ca="1">L21*E21*1000/COS(G21*3.14/180)-J21*E21*L2*1000/COS(3.14*G2/180)</f>
        <v>-7.4205350923689934</v>
      </c>
      <c r="P21" s="24">
        <f t="shared" si="3"/>
        <v>890.25277309312537</v>
      </c>
    </row>
    <row r="22" spans="1:16">
      <c r="A22">
        <f>'Airfoil Interpolation'!AW24</f>
        <v>0.25903999999999999</v>
      </c>
      <c r="B22">
        <f>'Airfoil Interpolation'!AX24</f>
        <v>-4.9680000000000002E-2</v>
      </c>
      <c r="D22">
        <f t="shared" si="6"/>
        <v>0.89025277309312534</v>
      </c>
      <c r="E22">
        <f t="shared" ca="1" si="6"/>
        <v>0.1728100803230308</v>
      </c>
      <c r="F22">
        <f t="shared" si="6"/>
        <v>0.55594124895106234</v>
      </c>
      <c r="G22">
        <f t="shared" ca="1" si="6"/>
        <v>1.1275666166110274</v>
      </c>
      <c r="J22">
        <f t="shared" si="5"/>
        <v>0</v>
      </c>
      <c r="K22" s="1">
        <f t="shared" ca="1" si="0"/>
        <v>0.25996702165162361</v>
      </c>
      <c r="L22" s="1">
        <f t="shared" ca="1" si="1"/>
        <v>-4.4584084729923396E-2</v>
      </c>
      <c r="N22" s="30">
        <f t="shared" ca="1" si="2"/>
        <v>651.6618576558169</v>
      </c>
      <c r="O22" s="23">
        <f ca="1">L22*E22*1000/COS(G22*3.14/180)-J22*E22*L2*1000/COS(3.14*G2/180)</f>
        <v>-7.706069954390621</v>
      </c>
      <c r="P22" s="24">
        <f t="shared" si="3"/>
        <v>890.25277309312537</v>
      </c>
    </row>
    <row r="23" spans="1:16">
      <c r="A23">
        <f>'Airfoil Interpolation'!AW25</f>
        <v>0.34539999999999998</v>
      </c>
      <c r="B23">
        <f>'Airfoil Interpolation'!AX25</f>
        <v>-4.965E-2</v>
      </c>
      <c r="D23">
        <f t="shared" si="6"/>
        <v>0.89025277309312534</v>
      </c>
      <c r="E23">
        <f t="shared" ca="1" si="6"/>
        <v>0.1728100803230308</v>
      </c>
      <c r="F23">
        <f t="shared" si="6"/>
        <v>0.55594124895106234</v>
      </c>
      <c r="G23">
        <f t="shared" ca="1" si="6"/>
        <v>1.1275666166110274</v>
      </c>
      <c r="J23">
        <f t="shared" si="5"/>
        <v>0</v>
      </c>
      <c r="K23" s="1">
        <f t="shared" ca="1" si="0"/>
        <v>0.34630972579407104</v>
      </c>
      <c r="L23" s="1">
        <f t="shared" ca="1" si="1"/>
        <v>-4.2855184009093342E-2</v>
      </c>
      <c r="N23" s="30">
        <f t="shared" ca="1" si="2"/>
        <v>666.585634205308</v>
      </c>
      <c r="O23" s="23">
        <f ca="1">L23*E23*1000/COS(G23*3.14/180)-J23*E23*L2*1000/COS(3.14*G2/180)</f>
        <v>-7.4072406752965323</v>
      </c>
      <c r="P23" s="24">
        <f t="shared" si="3"/>
        <v>890.25277309312537</v>
      </c>
    </row>
    <row r="24" spans="1:16">
      <c r="A24">
        <f>'Airfoil Interpolation'!AW26</f>
        <v>0.43256</v>
      </c>
      <c r="B24">
        <f>'Airfoil Interpolation'!AX26</f>
        <v>-4.7219999999999998E-2</v>
      </c>
      <c r="D24">
        <f t="shared" si="6"/>
        <v>0.89025277309312534</v>
      </c>
      <c r="E24">
        <f t="shared" ca="1" si="6"/>
        <v>0.1728100803230308</v>
      </c>
      <c r="F24">
        <f t="shared" si="6"/>
        <v>0.55594124895106234</v>
      </c>
      <c r="G24">
        <f t="shared" ca="1" si="6"/>
        <v>1.1275666166110274</v>
      </c>
      <c r="J24">
        <f t="shared" si="5"/>
        <v>0</v>
      </c>
      <c r="K24" s="1">
        <f t="shared" ca="1" si="0"/>
        <v>0.43340507076986989</v>
      </c>
      <c r="L24" s="1">
        <f t="shared" ca="1" si="1"/>
        <v>-3.8710545439992521E-2</v>
      </c>
      <c r="N24" s="30">
        <f t="shared" ca="1" si="2"/>
        <v>681.63949984258613</v>
      </c>
      <c r="O24" s="23">
        <f ca="1">L24*E24*1000/COS(G24*3.14/180)-J24*E24*L2*1000/COS(3.14*G2/180)</f>
        <v>-6.6908667732049638</v>
      </c>
      <c r="P24" s="24">
        <f t="shared" si="3"/>
        <v>890.25277309312537</v>
      </c>
    </row>
    <row r="25" spans="1:16">
      <c r="A25">
        <f>'Airfoil Interpolation'!AW27</f>
        <v>0.52019000000000004</v>
      </c>
      <c r="B25">
        <f>'Airfoil Interpolation'!AX27</f>
        <v>-4.3020000000000003E-2</v>
      </c>
      <c r="D25">
        <f t="shared" si="6"/>
        <v>0.89025277309312534</v>
      </c>
      <c r="E25">
        <f t="shared" ca="1" si="6"/>
        <v>0.1728100803230308</v>
      </c>
      <c r="F25">
        <f t="shared" si="6"/>
        <v>0.55594124895106234</v>
      </c>
      <c r="G25">
        <f t="shared" ca="1" si="6"/>
        <v>1.1275666166110274</v>
      </c>
      <c r="J25">
        <f t="shared" si="5"/>
        <v>0</v>
      </c>
      <c r="K25" s="1">
        <f t="shared" ca="1" si="0"/>
        <v>0.52093551157351581</v>
      </c>
      <c r="L25" s="1">
        <f t="shared" ca="1" si="1"/>
        <v>-3.2786660885032612E-2</v>
      </c>
      <c r="N25" s="30">
        <f t="shared" ca="1" si="2"/>
        <v>696.76856897246842</v>
      </c>
      <c r="O25" s="23">
        <f ca="1">L25*E25*1000/COS(G25*3.14/180)-J25*E25*L2*1000/COS(3.14*G2/180)</f>
        <v>-5.6669617394067364</v>
      </c>
      <c r="P25" s="24">
        <f t="shared" si="3"/>
        <v>890.25277309312537</v>
      </c>
    </row>
    <row r="26" spans="1:16">
      <c r="A26">
        <f>'Airfoil Interpolation'!AW28</f>
        <v>0.60809000000000002</v>
      </c>
      <c r="B26">
        <f>'Airfoil Interpolation'!AX28</f>
        <v>-3.7470000000000003E-2</v>
      </c>
      <c r="D26">
        <f t="shared" si="6"/>
        <v>0.89025277309312534</v>
      </c>
      <c r="E26">
        <f t="shared" ca="1" si="6"/>
        <v>0.1728100803230308</v>
      </c>
      <c r="F26">
        <f t="shared" si="6"/>
        <v>0.55594124895106234</v>
      </c>
      <c r="G26">
        <f t="shared" ca="1" si="6"/>
        <v>1.1275666166110274</v>
      </c>
      <c r="J26">
        <f t="shared" si="5"/>
        <v>0</v>
      </c>
      <c r="K26" s="1">
        <f t="shared" ca="1" si="0"/>
        <v>0.6087093476657971</v>
      </c>
      <c r="L26" s="1">
        <f t="shared" ca="1" si="1"/>
        <v>-2.5507464806281327E-2</v>
      </c>
      <c r="N26" s="30">
        <f t="shared" ca="1" si="2"/>
        <v>711.93970739977283</v>
      </c>
      <c r="O26" s="23">
        <f ca="1">L26*E26*1000/COS(G26*3.14/180)-J26*E26*L2*1000/COS(3.14*G2/180)</f>
        <v>-4.4087998968034094</v>
      </c>
      <c r="P26" s="24">
        <f t="shared" si="3"/>
        <v>890.25277309312537</v>
      </c>
    </row>
    <row r="27" spans="1:16">
      <c r="A27">
        <f>'Airfoil Interpolation'!AW29</f>
        <v>0.69613000000000003</v>
      </c>
      <c r="B27">
        <f>'Airfoil Interpolation'!AX29</f>
        <v>-3.0849999999999999E-2</v>
      </c>
      <c r="D27">
        <f t="shared" si="6"/>
        <v>0.89025277309312534</v>
      </c>
      <c r="E27">
        <f t="shared" ca="1" si="6"/>
        <v>0.1728100803230308</v>
      </c>
      <c r="F27">
        <f t="shared" si="6"/>
        <v>0.55594124895106234</v>
      </c>
      <c r="G27">
        <f t="shared" ca="1" si="6"/>
        <v>1.1275666166110274</v>
      </c>
      <c r="J27">
        <f t="shared" si="5"/>
        <v>0</v>
      </c>
      <c r="K27" s="1">
        <f t="shared" ca="1" si="0"/>
        <v>0.69660211137576056</v>
      </c>
      <c r="L27" s="1">
        <f t="shared" ca="1" si="1"/>
        <v>-1.7155514604082649E-2</v>
      </c>
      <c r="N27" s="30">
        <f t="shared" ca="1" si="2"/>
        <v>727.13140169464566</v>
      </c>
      <c r="O27" s="23">
        <f ca="1">L27*E27*1000/COS(G27*3.14/180)-J27*E27*L2*1000/COS(3.14*G2/180)</f>
        <v>-2.9652194598917352</v>
      </c>
      <c r="P27" s="24">
        <f t="shared" si="3"/>
        <v>890.25277309312537</v>
      </c>
    </row>
    <row r="28" spans="1:16">
      <c r="A28">
        <f>'Airfoil Interpolation'!AW30</f>
        <v>0.78420000000000001</v>
      </c>
      <c r="B28">
        <f>'Airfoil Interpolation'!AX30</f>
        <v>-2.3300000000000001E-2</v>
      </c>
      <c r="D28">
        <f t="shared" si="6"/>
        <v>0.89025277309312534</v>
      </c>
      <c r="E28">
        <f t="shared" ca="1" si="6"/>
        <v>0.1728100803230308</v>
      </c>
      <c r="F28">
        <f t="shared" si="6"/>
        <v>0.55594124895106234</v>
      </c>
      <c r="G28">
        <f t="shared" ca="1" si="6"/>
        <v>1.1275666166110274</v>
      </c>
      <c r="J28">
        <f t="shared" si="5"/>
        <v>0</v>
      </c>
      <c r="K28" s="1">
        <f t="shared" ca="1" si="0"/>
        <v>0.7845065775728981</v>
      </c>
      <c r="L28" s="1">
        <f t="shared" ca="1" si="1"/>
        <v>-7.8729742325738244E-3</v>
      </c>
      <c r="N28" s="30">
        <f t="shared" ca="1" si="2"/>
        <v>742.32511868854544</v>
      </c>
      <c r="O28" s="23">
        <f ca="1">L28*E28*1000/COS(G28*3.14/180)-J28*E28*L2*1000/COS(3.14*G2/180)</f>
        <v>-1.3607925463278419</v>
      </c>
      <c r="P28" s="24">
        <f t="shared" si="3"/>
        <v>890.25277309312537</v>
      </c>
    </row>
    <row r="29" spans="1:16">
      <c r="A29">
        <f>'Airfoil Interpolation'!AW31</f>
        <v>0.87217999999999996</v>
      </c>
      <c r="B29">
        <f>'Airfoil Interpolation'!AX31</f>
        <v>-1.49E-2</v>
      </c>
      <c r="D29">
        <f t="shared" si="6"/>
        <v>0.89025277309312534</v>
      </c>
      <c r="E29">
        <f t="shared" ca="1" si="6"/>
        <v>0.1728100803230308</v>
      </c>
      <c r="F29">
        <f t="shared" si="6"/>
        <v>0.55594124895106234</v>
      </c>
      <c r="G29">
        <f t="shared" ca="1" si="6"/>
        <v>1.1275666166110274</v>
      </c>
      <c r="J29">
        <f t="shared" si="5"/>
        <v>0</v>
      </c>
      <c r="K29" s="1">
        <f t="shared" ca="1" si="0"/>
        <v>0.87230434295084847</v>
      </c>
      <c r="L29" s="1">
        <f t="shared" ca="1" si="1"/>
        <v>2.257795631004545E-3</v>
      </c>
      <c r="N29" s="30">
        <f t="shared" ca="1" si="2"/>
        <v>757.50039313771595</v>
      </c>
      <c r="O29" s="23">
        <f ca="1">L29*E29*1000/COS(G29*3.14/180)-J29*E29*L2*1000/COS(3.14*G2/180)</f>
        <v>0.39024533486858981</v>
      </c>
      <c r="P29" s="24">
        <f t="shared" si="3"/>
        <v>890.25277309312537</v>
      </c>
    </row>
    <row r="30" spans="1:16">
      <c r="A30">
        <f>'Airfoil Interpolation'!AW32</f>
        <v>0.95823000000000003</v>
      </c>
      <c r="B30">
        <f>'Airfoil Interpolation'!AX32</f>
        <v>-5.8100000000000001E-3</v>
      </c>
      <c r="D30">
        <f t="shared" si="6"/>
        <v>0.89025277309312534</v>
      </c>
      <c r="E30">
        <f t="shared" ca="1" si="6"/>
        <v>0.1728100803230308</v>
      </c>
      <c r="F30">
        <f t="shared" si="6"/>
        <v>0.55594124895106234</v>
      </c>
      <c r="G30">
        <f t="shared" ca="1" si="6"/>
        <v>1.1275666166110274</v>
      </c>
      <c r="J30">
        <f t="shared" si="5"/>
        <v>0</v>
      </c>
      <c r="K30" s="1">
        <f t="shared" ca="1" si="0"/>
        <v>0.95815891040689127</v>
      </c>
      <c r="L30" s="1">
        <f t="shared" ca="1" si="1"/>
        <v>1.3040597935629668E-2</v>
      </c>
      <c r="N30" s="30">
        <f t="shared" ca="1" si="2"/>
        <v>772.33979842612757</v>
      </c>
      <c r="O30" s="23">
        <f ca="1">L30*E30*1000/COS(G30*3.14/180)-J30*E30*L2*1000/COS(3.14*G2/180)</f>
        <v>2.2539827956050273</v>
      </c>
      <c r="P30" s="24">
        <f t="shared" si="3"/>
        <v>890.25277309312537</v>
      </c>
    </row>
    <row r="31" spans="1:16" ht="15" thickBot="1">
      <c r="A31">
        <f>'Airfoil Interpolation'!AW33</f>
        <v>1</v>
      </c>
      <c r="B31">
        <f>'Airfoil Interpolation'!AX33</f>
        <v>-1.0499999999999999E-3</v>
      </c>
      <c r="D31">
        <f t="shared" si="6"/>
        <v>0.89025277309312534</v>
      </c>
      <c r="E31">
        <f t="shared" ca="1" si="6"/>
        <v>0.1728100803230308</v>
      </c>
      <c r="F31">
        <f t="shared" si="6"/>
        <v>0.55594124895106234</v>
      </c>
      <c r="G31">
        <f t="shared" ca="1" si="6"/>
        <v>1.1275666166110274</v>
      </c>
      <c r="J31">
        <f t="shared" si="5"/>
        <v>0</v>
      </c>
      <c r="K31" s="1">
        <f t="shared" ca="1" si="0"/>
        <v>0.99982720817827775</v>
      </c>
      <c r="L31" s="1">
        <f t="shared" ca="1" si="1"/>
        <v>1.8622310338467455E-2</v>
      </c>
      <c r="N31" s="31">
        <f t="shared" ca="1" si="2"/>
        <v>779.54189351121909</v>
      </c>
      <c r="O31" s="32">
        <f ca="1">L31*E31*1000/COS(G31*3.14/180)-J31*E31*L2*1000/COS(3.14*G2/180)</f>
        <v>3.2187455916143568</v>
      </c>
      <c r="P31" s="33">
        <f t="shared" si="3"/>
        <v>890.25277309312537</v>
      </c>
    </row>
  </sheetData>
  <pageMargins left="0.7" right="0.7" top="0.75" bottom="0.75" header="0.3" footer="0.3"/>
  <drawing r:id="rId1"/>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opLeftCell="A24" workbookViewId="0">
      <selection activeCell="T35" sqref="T35"/>
    </sheetView>
  </sheetViews>
  <sheetFormatPr baseColWidth="10" defaultColWidth="8.83203125" defaultRowHeight="14" x14ac:dyDescent="0"/>
  <sheetData>
    <row r="1" spans="1:16" ht="15" thickBot="1">
      <c r="A1" t="s">
        <v>3</v>
      </c>
      <c r="D1" t="s">
        <v>0</v>
      </c>
      <c r="E1" t="s">
        <v>1</v>
      </c>
      <c r="F1" t="s">
        <v>2</v>
      </c>
      <c r="G1" t="s">
        <v>5</v>
      </c>
      <c r="J1" t="s">
        <v>10</v>
      </c>
      <c r="K1" t="s">
        <v>9</v>
      </c>
      <c r="N1" s="6" t="s">
        <v>6</v>
      </c>
      <c r="O1" s="6" t="s">
        <v>7</v>
      </c>
      <c r="P1" s="6" t="s">
        <v>8</v>
      </c>
    </row>
    <row r="2" spans="1:16">
      <c r="A2">
        <f>'Airfoil Interpolation'!E4</f>
        <v>1</v>
      </c>
      <c r="B2">
        <f>'Airfoil Interpolation'!F4</f>
        <v>1.0499999999999999E-3</v>
      </c>
      <c r="D2" s="4">
        <f>'Loft Viewer'!N5</f>
        <v>0.97118484337431854</v>
      </c>
      <c r="E2" s="4">
        <f ca="1">'Loft Viewer'!N6</f>
        <v>0.13339725498619937</v>
      </c>
      <c r="F2" s="4">
        <f>'Loft Viewer'!N7</f>
        <v>0.60648136249206797</v>
      </c>
      <c r="G2" s="4">
        <f ca="1">-'Loft Viewer'!N8</f>
        <v>5.1877020871426227</v>
      </c>
      <c r="J2">
        <f>'Loft Viewer'!B2</f>
        <v>0</v>
      </c>
      <c r="K2" s="1">
        <f ca="1">(A2-J2)*COS(3.14*G2/180)-B2*SIN(3.14*G2/180)+J2</f>
        <v>0.9958130864852891</v>
      </c>
      <c r="L2" s="1">
        <f ca="1">(A2-J2)*SIN(3.14*G2/180)+B2*COS(3.14*G2/180)</f>
        <v>9.1418812531350147E-2</v>
      </c>
      <c r="N2" s="27">
        <f ca="1">K2*E2*1000/COS(G2*3.14/180)+F2*1000</f>
        <v>795.26990136820552</v>
      </c>
      <c r="O2" s="28">
        <f ca="1">L2*E2*1000/COS(G2*3.14/180)</f>
        <v>12.245125967572081</v>
      </c>
      <c r="P2" s="29">
        <f>D2*1000</f>
        <v>971.18484337431858</v>
      </c>
    </row>
    <row r="3" spans="1:16">
      <c r="A3">
        <f>'Airfoil Interpolation'!E5</f>
        <v>0.95823000000000003</v>
      </c>
      <c r="B3">
        <f>'Airfoil Interpolation'!F5</f>
        <v>5.8100000000000001E-3</v>
      </c>
      <c r="D3">
        <f>D2</f>
        <v>0.97118484337431854</v>
      </c>
      <c r="E3">
        <f ca="1">E2</f>
        <v>0.13339725498619937</v>
      </c>
      <c r="F3">
        <f>F2</f>
        <v>0.60648136249206797</v>
      </c>
      <c r="G3">
        <f ca="1">G2</f>
        <v>5.1877020871426227</v>
      </c>
      <c r="J3">
        <f>J2</f>
        <v>0</v>
      </c>
      <c r="K3" s="1">
        <f t="shared" ref="K3:K31" ca="1" si="0">(A3-J3)*COS(3.14*G3/180)-B3*SIN(3.14*G3/180)+J3</f>
        <v>0.95378383423421675</v>
      </c>
      <c r="L3" s="1">
        <f t="shared" ref="L3:L31" ca="1" si="1">(A3-J3)*SIN(3.14*G3/180)+B3*COS(3.14*G3/180)</f>
        <v>9.2384449738449254E-2</v>
      </c>
      <c r="N3" s="30">
        <f t="shared" ref="N3:N31" ca="1" si="2">K3*E3*1000/COS(G3*3.14/180)+F3*1000</f>
        <v>789.64027794730669</v>
      </c>
      <c r="O3" s="23">
        <f t="shared" ref="O3:O31" ca="1" si="3">L3*E3*1000/COS(G3*3.14/180)</f>
        <v>12.374468593148716</v>
      </c>
      <c r="P3" s="24">
        <f t="shared" ref="P3:P31" si="4">D3*1000</f>
        <v>971.18484337431858</v>
      </c>
    </row>
    <row r="4" spans="1:16">
      <c r="A4">
        <f>'Airfoil Interpolation'!E6</f>
        <v>0.87217999999999996</v>
      </c>
      <c r="B4">
        <f>'Airfoil Interpolation'!F6</f>
        <v>1.49E-2</v>
      </c>
      <c r="D4">
        <f t="shared" ref="D4:G19" si="5">D3</f>
        <v>0.97118484337431854</v>
      </c>
      <c r="E4">
        <f t="shared" ca="1" si="5"/>
        <v>0.13339725498619937</v>
      </c>
      <c r="F4">
        <f t="shared" si="5"/>
        <v>0.60648136249206797</v>
      </c>
      <c r="G4">
        <f t="shared" ca="1" si="5"/>
        <v>5.1877020871426227</v>
      </c>
      <c r="J4">
        <f t="shared" ref="J4:J31" si="6">J3</f>
        <v>0</v>
      </c>
      <c r="K4" s="1">
        <f t="shared" ca="1" si="0"/>
        <v>0.86726446114360123</v>
      </c>
      <c r="L4" s="1">
        <f t="shared" ca="1" si="1"/>
        <v>9.3660647218022988E-2</v>
      </c>
      <c r="N4" s="30">
        <f t="shared" ca="1" si="2"/>
        <v>778.05140917079927</v>
      </c>
      <c r="O4" s="23">
        <f t="shared" ca="1" si="3"/>
        <v>12.54540932694483</v>
      </c>
      <c r="P4" s="24">
        <f t="shared" si="4"/>
        <v>971.18484337431858</v>
      </c>
    </row>
    <row r="5" spans="1:16">
      <c r="A5">
        <f>'Airfoil Interpolation'!E7</f>
        <v>0.78420000000000001</v>
      </c>
      <c r="B5">
        <f>'Airfoil Interpolation'!F7</f>
        <v>2.3300000000000001E-2</v>
      </c>
      <c r="D5">
        <f t="shared" si="5"/>
        <v>0.97118484337431854</v>
      </c>
      <c r="E5">
        <f t="shared" ca="1" si="5"/>
        <v>0.13339725498619937</v>
      </c>
      <c r="F5">
        <f t="shared" si="5"/>
        <v>0.60648136249206797</v>
      </c>
      <c r="G5">
        <f t="shared" ca="1" si="5"/>
        <v>5.1877020871426227</v>
      </c>
      <c r="J5">
        <f t="shared" si="6"/>
        <v>0</v>
      </c>
      <c r="K5" s="1">
        <f t="shared" ca="1" si="0"/>
        <v>0.77888534310027979</v>
      </c>
      <c r="L5" s="1">
        <f t="shared" ca="1" si="1"/>
        <v>9.4075248091936736E-2</v>
      </c>
      <c r="N5" s="30">
        <f t="shared" ca="1" si="2"/>
        <v>766.2134361827749</v>
      </c>
      <c r="O5" s="23">
        <f t="shared" ca="1" si="3"/>
        <v>12.600943191220287</v>
      </c>
      <c r="P5" s="24">
        <f t="shared" si="4"/>
        <v>971.18484337431858</v>
      </c>
    </row>
    <row r="6" spans="1:16">
      <c r="A6">
        <f>'Airfoil Interpolation'!E8</f>
        <v>0.69613000000000003</v>
      </c>
      <c r="B6">
        <f>'Airfoil Interpolation'!F8</f>
        <v>3.0849999999999999E-2</v>
      </c>
      <c r="D6">
        <f t="shared" si="5"/>
        <v>0.97118484337431854</v>
      </c>
      <c r="E6">
        <f t="shared" ca="1" si="5"/>
        <v>0.13339725498619937</v>
      </c>
      <c r="F6">
        <f t="shared" si="5"/>
        <v>0.60648136249206797</v>
      </c>
      <c r="G6">
        <f t="shared" ca="1" si="5"/>
        <v>5.1877020871426227</v>
      </c>
      <c r="J6">
        <f t="shared" si="6"/>
        <v>0</v>
      </c>
      <c r="K6" s="1">
        <f t="shared" ca="1" si="0"/>
        <v>0.69049341048169688</v>
      </c>
      <c r="L6" s="1">
        <f t="shared" ca="1" si="1"/>
        <v>9.3635193604514166E-2</v>
      </c>
      <c r="N6" s="30">
        <f t="shared" ca="1" si="2"/>
        <v>754.37374674182399</v>
      </c>
      <c r="O6" s="23">
        <f t="shared" ca="1" si="3"/>
        <v>12.541999933460984</v>
      </c>
      <c r="P6" s="24">
        <f t="shared" si="4"/>
        <v>971.18484337431858</v>
      </c>
    </row>
    <row r="7" spans="1:16">
      <c r="A7">
        <f>'Airfoil Interpolation'!E9</f>
        <v>0.60809000000000002</v>
      </c>
      <c r="B7">
        <f>'Airfoil Interpolation'!F9</f>
        <v>3.7470000000000003E-2</v>
      </c>
      <c r="D7">
        <f t="shared" si="5"/>
        <v>0.97118484337431854</v>
      </c>
      <c r="E7">
        <f t="shared" ca="1" si="5"/>
        <v>0.13339725498619937</v>
      </c>
      <c r="F7">
        <f t="shared" si="5"/>
        <v>0.60648136249206797</v>
      </c>
      <c r="G7">
        <f t="shared" ca="1" si="5"/>
        <v>5.1877020871426227</v>
      </c>
      <c r="J7">
        <f t="shared" si="6"/>
        <v>0</v>
      </c>
      <c r="K7" s="1">
        <f t="shared" ca="1" si="0"/>
        <v>0.60221540209397484</v>
      </c>
      <c r="L7" s="1">
        <f t="shared" ca="1" si="1"/>
        <v>9.2271655890593829E-2</v>
      </c>
      <c r="N7" s="30">
        <f t="shared" ca="1" si="2"/>
        <v>742.54931692325306</v>
      </c>
      <c r="O7" s="23">
        <f t="shared" ca="1" si="3"/>
        <v>12.359360380330012</v>
      </c>
      <c r="P7" s="24">
        <f t="shared" si="4"/>
        <v>971.18484337431858</v>
      </c>
    </row>
    <row r="8" spans="1:16">
      <c r="A8">
        <f>'Airfoil Interpolation'!E10</f>
        <v>0.52019000000000004</v>
      </c>
      <c r="B8">
        <f>'Airfoil Interpolation'!F10</f>
        <v>4.3020000000000003E-2</v>
      </c>
      <c r="D8">
        <f t="shared" si="5"/>
        <v>0.97118484337431854</v>
      </c>
      <c r="E8">
        <f t="shared" ca="1" si="5"/>
        <v>0.13339725498619937</v>
      </c>
      <c r="F8">
        <f t="shared" si="5"/>
        <v>0.60648136249206797</v>
      </c>
      <c r="G8">
        <f t="shared" ca="1" si="5"/>
        <v>5.1877020871426227</v>
      </c>
      <c r="J8">
        <f t="shared" si="6"/>
        <v>0</v>
      </c>
      <c r="K8" s="1">
        <f t="shared" ca="1" si="0"/>
        <v>0.51417352005000283</v>
      </c>
      <c r="L8" s="1">
        <f t="shared" ca="1" si="1"/>
        <v>8.9855148875227678E-2</v>
      </c>
      <c r="N8" s="30">
        <f t="shared" ca="1" si="2"/>
        <v>730.75651513334958</v>
      </c>
      <c r="O8" s="23">
        <f t="shared" ca="1" si="3"/>
        <v>12.035680472602785</v>
      </c>
      <c r="P8" s="24">
        <f t="shared" si="4"/>
        <v>971.18484337431858</v>
      </c>
    </row>
    <row r="9" spans="1:16">
      <c r="A9">
        <f>'Airfoil Interpolation'!E11</f>
        <v>0.43256</v>
      </c>
      <c r="B9">
        <f>'Airfoil Interpolation'!F11</f>
        <v>4.7219999999999998E-2</v>
      </c>
      <c r="D9">
        <f t="shared" si="5"/>
        <v>0.97118484337431854</v>
      </c>
      <c r="E9">
        <f t="shared" ca="1" si="5"/>
        <v>0.13339725498619937</v>
      </c>
      <c r="F9">
        <f t="shared" si="5"/>
        <v>0.60648136249206797</v>
      </c>
      <c r="G9">
        <f t="shared" ca="1" si="5"/>
        <v>5.1877020871426227</v>
      </c>
      <c r="J9">
        <f t="shared" si="6"/>
        <v>0</v>
      </c>
      <c r="K9" s="1">
        <f t="shared" ca="1" si="0"/>
        <v>0.4265225368575164</v>
      </c>
      <c r="L9" s="1">
        <f t="shared" ca="1" si="1"/>
        <v>8.6118566828695786E-2</v>
      </c>
      <c r="N9" s="30">
        <f t="shared" ca="1" si="2"/>
        <v>719.01607243173964</v>
      </c>
      <c r="O9" s="23">
        <f t="shared" ca="1" si="3"/>
        <v>11.535182636533643</v>
      </c>
      <c r="P9" s="24">
        <f t="shared" si="4"/>
        <v>971.18484337431858</v>
      </c>
    </row>
    <row r="10" spans="1:16">
      <c r="A10">
        <f>'Airfoil Interpolation'!E12</f>
        <v>0.34539999999999998</v>
      </c>
      <c r="B10">
        <f>'Airfoil Interpolation'!F12</f>
        <v>4.965E-2</v>
      </c>
      <c r="D10">
        <f t="shared" si="5"/>
        <v>0.97118484337431854</v>
      </c>
      <c r="E10">
        <f t="shared" ca="1" si="5"/>
        <v>0.13339725498619937</v>
      </c>
      <c r="F10">
        <f t="shared" si="5"/>
        <v>0.60648136249206797</v>
      </c>
      <c r="G10">
        <f t="shared" ca="1" si="5"/>
        <v>5.1877020871426227</v>
      </c>
      <c r="J10">
        <f t="shared" si="6"/>
        <v>0</v>
      </c>
      <c r="K10" s="1">
        <f t="shared" ca="1" si="0"/>
        <v>0.33949959081801034</v>
      </c>
      <c r="L10" s="1">
        <f t="shared" ca="1" si="1"/>
        <v>8.0661703021964029E-2</v>
      </c>
      <c r="N10" s="30">
        <f t="shared" ca="1" si="2"/>
        <v>707.35975239413733</v>
      </c>
      <c r="O10" s="23">
        <f t="shared" ca="1" si="3"/>
        <v>10.80426103679835</v>
      </c>
      <c r="P10" s="24">
        <f t="shared" si="4"/>
        <v>971.18484337431858</v>
      </c>
    </row>
    <row r="11" spans="1:16">
      <c r="A11">
        <f>'Airfoil Interpolation'!E13</f>
        <v>0.25903999999999999</v>
      </c>
      <c r="B11">
        <f>'Airfoil Interpolation'!F13</f>
        <v>4.9680000000000002E-2</v>
      </c>
      <c r="D11">
        <f t="shared" si="5"/>
        <v>0.97118484337431854</v>
      </c>
      <c r="E11">
        <f t="shared" ca="1" si="5"/>
        <v>0.13339725498619937</v>
      </c>
      <c r="F11">
        <f t="shared" si="5"/>
        <v>0.60648136249206797</v>
      </c>
      <c r="G11">
        <f t="shared" ca="1" si="5"/>
        <v>5.1877020871426227</v>
      </c>
      <c r="J11">
        <f t="shared" si="6"/>
        <v>0</v>
      </c>
      <c r="K11" s="1">
        <f t="shared" ca="1" si="0"/>
        <v>0.25349026662307433</v>
      </c>
      <c r="L11" s="1">
        <f t="shared" ca="1" si="1"/>
        <v>7.2886958554755882E-2</v>
      </c>
      <c r="N11" s="30">
        <f t="shared" ca="1" si="2"/>
        <v>695.83920230176363</v>
      </c>
      <c r="O11" s="23">
        <f t="shared" ca="1" si="3"/>
        <v>9.7628700721760513</v>
      </c>
      <c r="P11" s="24">
        <f t="shared" si="4"/>
        <v>971.18484337431858</v>
      </c>
    </row>
    <row r="12" spans="1:16">
      <c r="A12">
        <f>'Airfoil Interpolation'!E14</f>
        <v>0.17424999999999999</v>
      </c>
      <c r="B12">
        <f>'Airfoil Interpolation'!F14</f>
        <v>4.6359999999999998E-2</v>
      </c>
      <c r="D12">
        <f t="shared" si="5"/>
        <v>0.97118484337431854</v>
      </c>
      <c r="E12">
        <f t="shared" ca="1" si="5"/>
        <v>0.13339725498619937</v>
      </c>
      <c r="F12">
        <f t="shared" si="5"/>
        <v>0.60648136249206797</v>
      </c>
      <c r="G12">
        <f t="shared" ca="1" si="5"/>
        <v>5.1877020871426227</v>
      </c>
      <c r="J12">
        <f t="shared" si="6"/>
        <v>0</v>
      </c>
      <c r="K12" s="1">
        <f t="shared" ca="1" si="0"/>
        <v>0.16934726786965706</v>
      </c>
      <c r="L12" s="1">
        <f t="shared" ca="1" si="1"/>
        <v>6.1917808141782618E-2</v>
      </c>
      <c r="N12" s="30">
        <f t="shared" ca="1" si="2"/>
        <v>684.56863784686527</v>
      </c>
      <c r="O12" s="23">
        <f t="shared" ca="1" si="3"/>
        <v>8.2936032457442259</v>
      </c>
      <c r="P12" s="24">
        <f t="shared" si="4"/>
        <v>971.18484337431858</v>
      </c>
    </row>
    <row r="13" spans="1:16">
      <c r="A13">
        <f>'Airfoil Interpolation'!E15</f>
        <v>9.3899999999999997E-2</v>
      </c>
      <c r="B13">
        <f>'Airfoil Interpolation'!F15</f>
        <v>3.814E-2</v>
      </c>
      <c r="D13">
        <f t="shared" si="5"/>
        <v>0.97118484337431854</v>
      </c>
      <c r="E13">
        <f t="shared" ca="1" si="5"/>
        <v>0.13339725498619937</v>
      </c>
      <c r="F13">
        <f t="shared" si="5"/>
        <v>0.60648136249206797</v>
      </c>
      <c r="G13">
        <f t="shared" ca="1" si="5"/>
        <v>5.1877020871426227</v>
      </c>
      <c r="J13">
        <f t="shared" si="6"/>
        <v>0</v>
      </c>
      <c r="K13" s="1">
        <f t="shared" ca="1" si="0"/>
        <v>9.0068928774524978E-2</v>
      </c>
      <c r="L13" s="1">
        <f t="shared" ca="1" si="1"/>
        <v>4.6469965240029457E-2</v>
      </c>
      <c r="N13" s="30">
        <f t="shared" ca="1" si="2"/>
        <v>673.9496719924698</v>
      </c>
      <c r="O13" s="23">
        <f t="shared" ca="1" si="3"/>
        <v>6.2244363311732984</v>
      </c>
      <c r="P13" s="24">
        <f t="shared" si="4"/>
        <v>971.18484337431858</v>
      </c>
    </row>
    <row r="14" spans="1:16">
      <c r="A14">
        <f>'Airfoil Interpolation'!E16</f>
        <v>3.5589999999999997E-2</v>
      </c>
      <c r="B14">
        <f>'Airfoil Interpolation'!F16</f>
        <v>2.555E-2</v>
      </c>
      <c r="D14">
        <f t="shared" si="5"/>
        <v>0.97118484337431854</v>
      </c>
      <c r="E14">
        <f t="shared" ca="1" si="5"/>
        <v>0.13339725498619937</v>
      </c>
      <c r="F14">
        <f t="shared" si="5"/>
        <v>0.60648136249206797</v>
      </c>
      <c r="G14">
        <f t="shared" ca="1" si="5"/>
        <v>5.1877020871426227</v>
      </c>
      <c r="J14">
        <f t="shared" si="6"/>
        <v>0</v>
      </c>
      <c r="K14" s="1">
        <f t="shared" ca="1" si="0"/>
        <v>3.3135332007024475E-2</v>
      </c>
      <c r="L14" s="1">
        <f t="shared" ca="1" si="1"/>
        <v>2.8661827799082513E-2</v>
      </c>
      <c r="N14" s="30">
        <f t="shared" ca="1" si="2"/>
        <v>666.32368074514397</v>
      </c>
      <c r="O14" s="23">
        <f t="shared" ca="1" si="3"/>
        <v>3.8391189093630773</v>
      </c>
      <c r="P14" s="24">
        <f t="shared" si="4"/>
        <v>971.18484337431858</v>
      </c>
    </row>
    <row r="15" spans="1:16">
      <c r="A15">
        <f>'Airfoil Interpolation'!E17</f>
        <v>1.077E-2</v>
      </c>
      <c r="B15">
        <f>'Airfoil Interpolation'!F17</f>
        <v>1.4710000000000001E-2</v>
      </c>
      <c r="D15">
        <f t="shared" si="5"/>
        <v>0.97118484337431854</v>
      </c>
      <c r="E15">
        <f t="shared" ca="1" si="5"/>
        <v>0.13339725498619937</v>
      </c>
      <c r="F15">
        <f t="shared" si="5"/>
        <v>0.60648136249206797</v>
      </c>
      <c r="G15">
        <f t="shared" ca="1" si="5"/>
        <v>5.1877020871426227</v>
      </c>
      <c r="J15">
        <f t="shared" si="6"/>
        <v>0</v>
      </c>
      <c r="K15" s="1">
        <f t="shared" ca="1" si="0"/>
        <v>9.3965404900933306E-3</v>
      </c>
      <c r="L15" s="1">
        <f t="shared" ca="1" si="1"/>
        <v>1.5623124745646646E-2</v>
      </c>
      <c r="N15" s="30">
        <f t="shared" ca="1" si="2"/>
        <v>663.14397971431879</v>
      </c>
      <c r="O15" s="23">
        <f t="shared" ca="1" si="3"/>
        <v>2.092645104659733</v>
      </c>
      <c r="P15" s="24">
        <f t="shared" si="4"/>
        <v>971.18484337431858</v>
      </c>
    </row>
    <row r="16" spans="1:16">
      <c r="A16">
        <f>'Airfoil Interpolation'!E18</f>
        <v>1.1199999999999999E-3</v>
      </c>
      <c r="B16">
        <f>'Airfoil Interpolation'!F18</f>
        <v>4.8999999999999998E-3</v>
      </c>
      <c r="D16">
        <f t="shared" si="5"/>
        <v>0.97118484337431854</v>
      </c>
      <c r="E16">
        <f t="shared" ca="1" si="5"/>
        <v>0.13339725498619937</v>
      </c>
      <c r="F16">
        <f t="shared" si="5"/>
        <v>0.60648136249206797</v>
      </c>
      <c r="G16">
        <f t="shared" ca="1" si="5"/>
        <v>5.1877020871426227</v>
      </c>
      <c r="J16">
        <f t="shared" si="6"/>
        <v>0</v>
      </c>
      <c r="K16" s="1">
        <f t="shared" ca="1" si="0"/>
        <v>6.7258870078436912E-4</v>
      </c>
      <c r="L16" s="1">
        <f t="shared" ca="1" si="1"/>
        <v>4.9811669756772044E-3</v>
      </c>
      <c r="N16" s="30">
        <f t="shared" ca="1" si="2"/>
        <v>661.97544683101887</v>
      </c>
      <c r="O16" s="23">
        <f t="shared" ca="1" si="3"/>
        <v>0.66720421534419383</v>
      </c>
      <c r="P16" s="24">
        <f t="shared" si="4"/>
        <v>971.18484337431858</v>
      </c>
    </row>
    <row r="17" spans="1:16">
      <c r="A17">
        <f>'Airfoil Interpolation'!E19</f>
        <v>1.1199999999999999E-3</v>
      </c>
      <c r="B17">
        <f>'Airfoil Interpolation'!F19</f>
        <v>-4.8999999999999998E-3</v>
      </c>
      <c r="D17">
        <f t="shared" si="5"/>
        <v>0.97118484337431854</v>
      </c>
      <c r="E17">
        <f t="shared" ca="1" si="5"/>
        <v>0.13339725498619937</v>
      </c>
      <c r="F17">
        <f t="shared" si="5"/>
        <v>0.60648136249206797</v>
      </c>
      <c r="G17">
        <f t="shared" ca="1" si="5"/>
        <v>5.1877020871426227</v>
      </c>
      <c r="J17">
        <f t="shared" si="6"/>
        <v>0</v>
      </c>
      <c r="K17" s="1">
        <f t="shared" ca="1" si="0"/>
        <v>1.558245170495409E-3</v>
      </c>
      <c r="L17" s="1">
        <f t="shared" ca="1" si="1"/>
        <v>-4.7787312111718244E-3</v>
      </c>
      <c r="N17" s="30">
        <f t="shared" ca="1" si="2"/>
        <v>662.09407640774725</v>
      </c>
      <c r="O17" s="23">
        <f t="shared" ca="1" si="3"/>
        <v>-0.64008888352056004</v>
      </c>
      <c r="P17" s="24">
        <f t="shared" si="4"/>
        <v>971.18484337431858</v>
      </c>
    </row>
    <row r="18" spans="1:16">
      <c r="A18">
        <f>'Airfoil Interpolation'!E20</f>
        <v>1.077E-2</v>
      </c>
      <c r="B18">
        <f>'Airfoil Interpolation'!F20</f>
        <v>-1.4710000000000001E-2</v>
      </c>
      <c r="D18">
        <f t="shared" si="5"/>
        <v>0.97118484337431854</v>
      </c>
      <c r="E18">
        <f t="shared" ca="1" si="5"/>
        <v>0.13339725498619937</v>
      </c>
      <c r="F18">
        <f t="shared" si="5"/>
        <v>0.60648136249206797</v>
      </c>
      <c r="G18">
        <f t="shared" ca="1" si="5"/>
        <v>5.1877020871426227</v>
      </c>
      <c r="J18">
        <f t="shared" si="6"/>
        <v>0</v>
      </c>
      <c r="K18" s="1">
        <f t="shared" ca="1" si="0"/>
        <v>1.2055317361409535E-2</v>
      </c>
      <c r="L18" s="1">
        <f t="shared" ca="1" si="1"/>
        <v>-1.3676487974465442E-2</v>
      </c>
      <c r="N18" s="30">
        <f t="shared" ca="1" si="2"/>
        <v>663.50011054568097</v>
      </c>
      <c r="O18" s="23">
        <f t="shared" ca="1" si="3"/>
        <v>-1.8319021370342528</v>
      </c>
      <c r="P18" s="24">
        <f t="shared" si="4"/>
        <v>971.18484337431858</v>
      </c>
    </row>
    <row r="19" spans="1:16">
      <c r="A19">
        <f>'Airfoil Interpolation'!E21</f>
        <v>3.5589999999999997E-2</v>
      </c>
      <c r="B19">
        <f>'Airfoil Interpolation'!F21</f>
        <v>-2.555E-2</v>
      </c>
      <c r="D19">
        <f t="shared" si="5"/>
        <v>0.97118484337431854</v>
      </c>
      <c r="E19">
        <f t="shared" ca="1" si="5"/>
        <v>0.13339725498619937</v>
      </c>
      <c r="F19">
        <f t="shared" si="5"/>
        <v>0.60648136249206797</v>
      </c>
      <c r="G19">
        <f t="shared" ca="1" si="5"/>
        <v>5.1877020871426227</v>
      </c>
      <c r="J19">
        <f t="shared" si="6"/>
        <v>0</v>
      </c>
      <c r="K19" s="1">
        <f t="shared" ca="1" si="0"/>
        <v>3.7753397884803468E-2</v>
      </c>
      <c r="L19" s="1">
        <f t="shared" ca="1" si="1"/>
        <v>-2.2229069889487429E-2</v>
      </c>
      <c r="N19" s="30">
        <f t="shared" ca="1" si="2"/>
        <v>666.94224925237063</v>
      </c>
      <c r="O19" s="23">
        <f t="shared" ca="1" si="3"/>
        <v>-2.97748082043171</v>
      </c>
      <c r="P19" s="24">
        <f t="shared" si="4"/>
        <v>971.18484337431858</v>
      </c>
    </row>
    <row r="20" spans="1:16">
      <c r="A20">
        <f>'Airfoil Interpolation'!E22</f>
        <v>9.3899999999999997E-2</v>
      </c>
      <c r="B20">
        <f>'Airfoil Interpolation'!F22</f>
        <v>-3.814E-2</v>
      </c>
      <c r="D20">
        <f t="shared" ref="D20:G31" si="7">D19</f>
        <v>0.97118484337431854</v>
      </c>
      <c r="E20">
        <f t="shared" ca="1" si="7"/>
        <v>0.13339725498619937</v>
      </c>
      <c r="F20">
        <f t="shared" si="7"/>
        <v>0.60648136249206797</v>
      </c>
      <c r="G20">
        <f t="shared" ca="1" si="7"/>
        <v>5.1877020871426227</v>
      </c>
      <c r="J20">
        <f t="shared" si="6"/>
        <v>0</v>
      </c>
      <c r="K20" s="1">
        <f t="shared" ca="1" si="0"/>
        <v>9.6962589540806429E-2</v>
      </c>
      <c r="L20" s="1">
        <f t="shared" ca="1" si="1"/>
        <v>-2.9497895340872993E-2</v>
      </c>
      <c r="N20" s="30">
        <f t="shared" ca="1" si="2"/>
        <v>674.8730458815354</v>
      </c>
      <c r="O20" s="23">
        <f t="shared" ca="1" si="3"/>
        <v>-3.9511062791739899</v>
      </c>
      <c r="P20" s="24">
        <f t="shared" si="4"/>
        <v>971.18484337431858</v>
      </c>
    </row>
    <row r="21" spans="1:16">
      <c r="A21">
        <f>'Airfoil Interpolation'!E23</f>
        <v>0.17424999999999999</v>
      </c>
      <c r="B21">
        <f>'Airfoil Interpolation'!F23</f>
        <v>-4.6359999999999998E-2</v>
      </c>
      <c r="D21">
        <f t="shared" si="7"/>
        <v>0.97118484337431854</v>
      </c>
      <c r="E21">
        <f t="shared" ca="1" si="7"/>
        <v>0.13339725498619937</v>
      </c>
      <c r="F21">
        <f t="shared" si="7"/>
        <v>0.60648136249206797</v>
      </c>
      <c r="G21">
        <f t="shared" ca="1" si="7"/>
        <v>5.1877020871426227</v>
      </c>
      <c r="J21">
        <f t="shared" si="6"/>
        <v>0</v>
      </c>
      <c r="K21" s="1">
        <f t="shared" ca="1" si="0"/>
        <v>0.17772666255043337</v>
      </c>
      <c r="L21" s="1">
        <f t="shared" ca="1" si="1"/>
        <v>-3.0422779601548194E-2</v>
      </c>
      <c r="N21" s="30">
        <f t="shared" ca="1" si="2"/>
        <v>685.6910189034221</v>
      </c>
      <c r="O21" s="23">
        <f t="shared" ca="1" si="3"/>
        <v>-4.0749902365761796</v>
      </c>
      <c r="P21" s="24">
        <f t="shared" si="4"/>
        <v>971.18484337431858</v>
      </c>
    </row>
    <row r="22" spans="1:16">
      <c r="A22">
        <f>'Airfoil Interpolation'!E24</f>
        <v>0.25903999999999999</v>
      </c>
      <c r="B22">
        <f>'Airfoil Interpolation'!F24</f>
        <v>-4.9680000000000002E-2</v>
      </c>
      <c r="D22">
        <f t="shared" si="7"/>
        <v>0.97118484337431854</v>
      </c>
      <c r="E22">
        <f t="shared" ca="1" si="7"/>
        <v>0.13339725498619937</v>
      </c>
      <c r="F22">
        <f t="shared" si="7"/>
        <v>0.60648136249206797</v>
      </c>
      <c r="G22">
        <f t="shared" ca="1" si="7"/>
        <v>5.1877020871426227</v>
      </c>
      <c r="J22">
        <f t="shared" si="6"/>
        <v>0</v>
      </c>
      <c r="K22" s="1">
        <f t="shared" ca="1" si="0"/>
        <v>0.26246973874863438</v>
      </c>
      <c r="L22" s="1">
        <f t="shared" ca="1" si="1"/>
        <v>-2.6066458164154292E-2</v>
      </c>
      <c r="N22" s="30">
        <f t="shared" ca="1" si="2"/>
        <v>697.04196094908343</v>
      </c>
      <c r="O22" s="23">
        <f t="shared" ca="1" si="3"/>
        <v>-3.4914811832527199</v>
      </c>
      <c r="P22" s="24">
        <f t="shared" si="4"/>
        <v>971.18484337431858</v>
      </c>
    </row>
    <row r="23" spans="1:16">
      <c r="A23">
        <f>'Airfoil Interpolation'!E25</f>
        <v>0.34539999999999998</v>
      </c>
      <c r="B23">
        <f>'Airfoil Interpolation'!F25</f>
        <v>-4.965E-2</v>
      </c>
      <c r="D23">
        <f t="shared" si="7"/>
        <v>0.97118484337431854</v>
      </c>
      <c r="E23">
        <f t="shared" ca="1" si="7"/>
        <v>0.13339725498619937</v>
      </c>
      <c r="F23">
        <f t="shared" si="7"/>
        <v>0.60648136249206797</v>
      </c>
      <c r="G23">
        <f t="shared" ca="1" si="7"/>
        <v>5.1877020871426227</v>
      </c>
      <c r="J23">
        <f t="shared" si="6"/>
        <v>0</v>
      </c>
      <c r="K23" s="1">
        <f t="shared" ca="1" si="0"/>
        <v>0.34847364055702118</v>
      </c>
      <c r="L23" s="1">
        <f t="shared" ca="1" si="1"/>
        <v>-1.8231959218251131E-2</v>
      </c>
      <c r="N23" s="30">
        <f t="shared" ca="1" si="2"/>
        <v>708.56178473792613</v>
      </c>
      <c r="O23" s="23">
        <f t="shared" ca="1" si="3"/>
        <v>-2.4420863833312465</v>
      </c>
      <c r="P23" s="24">
        <f t="shared" si="4"/>
        <v>971.18484337431858</v>
      </c>
    </row>
    <row r="24" spans="1:16">
      <c r="A24">
        <f>'Airfoil Interpolation'!E26</f>
        <v>0.43256</v>
      </c>
      <c r="B24">
        <f>'Airfoil Interpolation'!F26</f>
        <v>-4.7219999999999998E-2</v>
      </c>
      <c r="D24">
        <f t="shared" si="7"/>
        <v>0.97118484337431854</v>
      </c>
      <c r="E24">
        <f t="shared" ca="1" si="7"/>
        <v>0.13339725498619937</v>
      </c>
      <c r="F24">
        <f t="shared" si="7"/>
        <v>0.60648136249206797</v>
      </c>
      <c r="G24">
        <f t="shared" ca="1" si="7"/>
        <v>5.1877020871426227</v>
      </c>
      <c r="J24">
        <f t="shared" si="6"/>
        <v>0</v>
      </c>
      <c r="K24" s="1">
        <f t="shared" ca="1" si="0"/>
        <v>0.43505737328603789</v>
      </c>
      <c r="L24" s="1">
        <f t="shared" ca="1" si="1"/>
        <v>-7.9349826372248702E-3</v>
      </c>
      <c r="N24" s="30">
        <f t="shared" ca="1" si="2"/>
        <v>720.15927418951821</v>
      </c>
      <c r="O24" s="23">
        <f t="shared" ca="1" si="3"/>
        <v>-1.0628541243630267</v>
      </c>
      <c r="P24" s="24">
        <f t="shared" si="4"/>
        <v>971.18484337431858</v>
      </c>
    </row>
    <row r="25" spans="1:16">
      <c r="A25">
        <f>'Airfoil Interpolation'!E27</f>
        <v>0.52019000000000004</v>
      </c>
      <c r="B25">
        <f>'Airfoil Interpolation'!F27</f>
        <v>-4.3020000000000003E-2</v>
      </c>
      <c r="D25">
        <f t="shared" si="7"/>
        <v>0.97118484337431854</v>
      </c>
      <c r="E25">
        <f t="shared" ca="1" si="7"/>
        <v>0.13339725498619937</v>
      </c>
      <c r="F25">
        <f t="shared" si="7"/>
        <v>0.60648136249206797</v>
      </c>
      <c r="G25">
        <f t="shared" ca="1" si="7"/>
        <v>5.1877020871426227</v>
      </c>
      <c r="J25">
        <f t="shared" si="6"/>
        <v>0</v>
      </c>
      <c r="K25" s="1">
        <f t="shared" ca="1" si="0"/>
        <v>0.52194922236162911</v>
      </c>
      <c r="L25" s="1">
        <f t="shared" ca="1" si="1"/>
        <v>4.1672264266061909E-3</v>
      </c>
      <c r="N25" s="30">
        <f t="shared" ca="1" si="2"/>
        <v>731.79803439678949</v>
      </c>
      <c r="O25" s="23">
        <f t="shared" ca="1" si="3"/>
        <v>0.55818065359018998</v>
      </c>
      <c r="P25" s="24">
        <f t="shared" si="4"/>
        <v>971.18484337431858</v>
      </c>
    </row>
    <row r="26" spans="1:16">
      <c r="A26">
        <f>'Airfoil Interpolation'!E28</f>
        <v>0.60809000000000002</v>
      </c>
      <c r="B26">
        <f>'Airfoil Interpolation'!F28</f>
        <v>-3.7470000000000003E-2</v>
      </c>
      <c r="D26">
        <f t="shared" si="7"/>
        <v>0.97118484337431854</v>
      </c>
      <c r="E26">
        <f t="shared" ca="1" si="7"/>
        <v>0.13339725498619937</v>
      </c>
      <c r="F26">
        <f t="shared" si="7"/>
        <v>0.60648136249206797</v>
      </c>
      <c r="G26">
        <f t="shared" ca="1" si="7"/>
        <v>5.1877020871426227</v>
      </c>
      <c r="J26">
        <f t="shared" si="6"/>
        <v>0</v>
      </c>
      <c r="K26" s="1">
        <f t="shared" ca="1" si="0"/>
        <v>0.60898796289398971</v>
      </c>
      <c r="L26" s="1">
        <f t="shared" ca="1" si="1"/>
        <v>1.763831200054624E-2</v>
      </c>
      <c r="N26" s="30">
        <f t="shared" ca="1" si="2"/>
        <v>743.45647003345982</v>
      </c>
      <c r="O26" s="23">
        <f t="shared" ca="1" si="3"/>
        <v>2.3625700916642303</v>
      </c>
      <c r="P26" s="24">
        <f t="shared" si="4"/>
        <v>971.18484337431858</v>
      </c>
    </row>
    <row r="27" spans="1:16">
      <c r="A27">
        <f>'Airfoil Interpolation'!E29</f>
        <v>0.69613000000000003</v>
      </c>
      <c r="B27">
        <f>'Airfoil Interpolation'!F29</f>
        <v>-3.0849999999999999E-2</v>
      </c>
      <c r="D27">
        <f t="shared" si="7"/>
        <v>0.97118484337431854</v>
      </c>
      <c r="E27">
        <f t="shared" ca="1" si="7"/>
        <v>0.13339725498619937</v>
      </c>
      <c r="F27">
        <f t="shared" si="7"/>
        <v>0.60648136249206797</v>
      </c>
      <c r="G27">
        <f t="shared" ca="1" si="7"/>
        <v>5.1877020871426227</v>
      </c>
      <c r="J27">
        <f t="shared" si="6"/>
        <v>0</v>
      </c>
      <c r="K27" s="1">
        <f t="shared" ca="1" si="0"/>
        <v>0.69606943131651033</v>
      </c>
      <c r="L27" s="1">
        <f t="shared" ca="1" si="1"/>
        <v>3.2187671346495278E-2</v>
      </c>
      <c r="N27" s="30">
        <f t="shared" ca="1" si="2"/>
        <v>755.1206288728589</v>
      </c>
      <c r="O27" s="23">
        <f t="shared" ca="1" si="3"/>
        <v>4.3113893008124826</v>
      </c>
      <c r="P27" s="24">
        <f t="shared" si="4"/>
        <v>971.18484337431858</v>
      </c>
    </row>
    <row r="28" spans="1:16">
      <c r="A28">
        <f>'Airfoil Interpolation'!E30</f>
        <v>0.78420000000000001</v>
      </c>
      <c r="B28">
        <f>'Airfoil Interpolation'!F30</f>
        <v>-2.3300000000000001E-2</v>
      </c>
      <c r="D28">
        <f t="shared" si="7"/>
        <v>0.97118484337431854</v>
      </c>
      <c r="E28">
        <f t="shared" ca="1" si="7"/>
        <v>0.13339725498619937</v>
      </c>
      <c r="F28">
        <f t="shared" si="7"/>
        <v>0.60648136249206797</v>
      </c>
      <c r="G28">
        <f t="shared" ca="1" si="7"/>
        <v>5.1877020871426227</v>
      </c>
      <c r="J28">
        <f t="shared" si="6"/>
        <v>0</v>
      </c>
      <c r="K28" s="1">
        <f t="shared" ca="1" si="0"/>
        <v>0.78309672998686497</v>
      </c>
      <c r="L28" s="1">
        <f t="shared" ca="1" si="1"/>
        <v>4.7665936305491347E-2</v>
      </c>
      <c r="N28" s="30">
        <f t="shared" ca="1" si="2"/>
        <v>766.77753192517719</v>
      </c>
      <c r="O28" s="23">
        <f t="shared" ca="1" si="3"/>
        <v>6.3846311088633954</v>
      </c>
      <c r="P28" s="24">
        <f t="shared" si="4"/>
        <v>971.18484337431858</v>
      </c>
    </row>
    <row r="29" spans="1:16">
      <c r="A29">
        <f>'Airfoil Interpolation'!E31</f>
        <v>0.87217999999999996</v>
      </c>
      <c r="B29">
        <f>'Airfoil Interpolation'!F31</f>
        <v>-1.49E-2</v>
      </c>
      <c r="D29">
        <f t="shared" si="7"/>
        <v>0.97118484337431854</v>
      </c>
      <c r="E29">
        <f t="shared" ca="1" si="7"/>
        <v>0.13339725498619937</v>
      </c>
      <c r="F29">
        <f t="shared" si="7"/>
        <v>0.60648136249206797</v>
      </c>
      <c r="G29">
        <f t="shared" ca="1" si="7"/>
        <v>5.1877020871426227</v>
      </c>
      <c r="J29">
        <f t="shared" si="6"/>
        <v>0</v>
      </c>
      <c r="K29" s="1">
        <f t="shared" ca="1" si="0"/>
        <v>0.86995757979639599</v>
      </c>
      <c r="L29" s="1">
        <f t="shared" ca="1" si="1"/>
        <v>6.3982589466175951E-2</v>
      </c>
      <c r="N29" s="30">
        <f t="shared" ca="1" si="2"/>
        <v>778.41213992452435</v>
      </c>
      <c r="O29" s="23">
        <f t="shared" ca="1" si="3"/>
        <v>8.5701711283560904</v>
      </c>
      <c r="P29" s="24">
        <f t="shared" si="4"/>
        <v>971.18484337431858</v>
      </c>
    </row>
    <row r="30" spans="1:16">
      <c r="A30">
        <f>'Airfoil Interpolation'!E32</f>
        <v>0.95823000000000003</v>
      </c>
      <c r="B30">
        <f>'Airfoil Interpolation'!F32</f>
        <v>-5.8100000000000001E-3</v>
      </c>
      <c r="D30">
        <f t="shared" si="7"/>
        <v>0.97118484337431854</v>
      </c>
      <c r="E30">
        <f t="shared" ca="1" si="7"/>
        <v>0.13339725498619937</v>
      </c>
      <c r="F30">
        <f t="shared" si="7"/>
        <v>0.60648136249206797</v>
      </c>
      <c r="G30">
        <f t="shared" ca="1" si="7"/>
        <v>5.1877020871426227</v>
      </c>
      <c r="J30">
        <f t="shared" si="6"/>
        <v>0</v>
      </c>
      <c r="K30" s="1">
        <f t="shared" ca="1" si="0"/>
        <v>0.95483396976258839</v>
      </c>
      <c r="L30" s="1">
        <f t="shared" ca="1" si="1"/>
        <v>8.0811999031185411E-2</v>
      </c>
      <c r="N30" s="30">
        <f t="shared" ca="1" si="2"/>
        <v>789.78093873114187</v>
      </c>
      <c r="O30" s="23">
        <f t="shared" ca="1" si="3"/>
        <v>10.82439249020908</v>
      </c>
      <c r="P30" s="24">
        <f t="shared" si="4"/>
        <v>971.18484337431858</v>
      </c>
    </row>
    <row r="31" spans="1:16" ht="15" thickBot="1">
      <c r="A31">
        <f>'Airfoil Interpolation'!E33</f>
        <v>1</v>
      </c>
      <c r="B31">
        <f>'Airfoil Interpolation'!F33</f>
        <v>-1.0499999999999999E-3</v>
      </c>
      <c r="D31">
        <f t="shared" si="7"/>
        <v>0.97118484337431854</v>
      </c>
      <c r="E31">
        <f t="shared" ca="1" si="7"/>
        <v>0.13339725498619937</v>
      </c>
      <c r="F31">
        <f t="shared" si="7"/>
        <v>0.60648136249206797</v>
      </c>
      <c r="G31">
        <f t="shared" ca="1" si="7"/>
        <v>5.1877020871426227</v>
      </c>
      <c r="J31">
        <f t="shared" si="6"/>
        <v>0</v>
      </c>
      <c r="K31" s="1">
        <f t="shared" ca="1" si="0"/>
        <v>0.99600287001451282</v>
      </c>
      <c r="L31" s="1">
        <f t="shared" ca="1" si="1"/>
        <v>8.9327405777025359E-2</v>
      </c>
      <c r="N31" s="31">
        <f t="shared" ca="1" si="2"/>
        <v>795.29532199179016</v>
      </c>
      <c r="O31" s="32">
        <f t="shared" ca="1" si="3"/>
        <v>11.964991732101062</v>
      </c>
      <c r="P31" s="33">
        <f t="shared" si="4"/>
        <v>971.18484337431858</v>
      </c>
    </row>
  </sheetData>
  <pageMargins left="0.7" right="0.7" top="0.75" bottom="0.75" header="0.3" footer="0.3"/>
  <drawing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Q72"/>
  <sheetViews>
    <sheetView zoomScale="90" zoomScaleNormal="90" zoomScalePageLayoutView="90" workbookViewId="0">
      <selection activeCell="V36" sqref="V36"/>
    </sheetView>
  </sheetViews>
  <sheetFormatPr baseColWidth="10" defaultColWidth="8.83203125" defaultRowHeight="14" x14ac:dyDescent="0"/>
  <cols>
    <col min="2" max="3" width="10.5" customWidth="1"/>
    <col min="5" max="5" width="10.33203125" customWidth="1"/>
    <col min="6" max="6" width="10.1640625" customWidth="1"/>
    <col min="8" max="8" width="10.5" customWidth="1"/>
    <col min="9" max="9" width="11" customWidth="1"/>
    <col min="11" max="11" width="10.83203125" customWidth="1"/>
    <col min="12" max="12" width="11" customWidth="1"/>
    <col min="14" max="14" width="10.33203125" customWidth="1"/>
    <col min="15" max="15" width="10.5" customWidth="1"/>
  </cols>
  <sheetData>
    <row r="5" spans="1:17" ht="15" thickBot="1"/>
    <row r="6" spans="1:17" ht="15" thickBot="1">
      <c r="A6" s="74" t="s">
        <v>149</v>
      </c>
      <c r="B6" s="75"/>
      <c r="C6" s="75"/>
      <c r="D6" s="75"/>
      <c r="E6" s="75"/>
      <c r="F6" s="75"/>
      <c r="G6" s="75"/>
      <c r="H6" s="75"/>
      <c r="I6" s="75"/>
      <c r="J6" s="75"/>
      <c r="K6" s="75"/>
      <c r="L6" s="75"/>
      <c r="M6" s="75"/>
      <c r="N6" s="75"/>
      <c r="O6" s="75"/>
      <c r="P6" s="75"/>
      <c r="Q6" s="76"/>
    </row>
    <row r="7" spans="1:17">
      <c r="A7" s="6"/>
      <c r="B7" s="72" t="s">
        <v>143</v>
      </c>
      <c r="C7" s="72"/>
      <c r="E7" s="72" t="s">
        <v>144</v>
      </c>
      <c r="F7" s="72"/>
      <c r="H7" s="72" t="s">
        <v>68</v>
      </c>
      <c r="I7" s="72"/>
      <c r="K7" s="72" t="s">
        <v>145</v>
      </c>
      <c r="L7" s="72"/>
      <c r="N7" s="72" t="s">
        <v>147</v>
      </c>
      <c r="O7" s="72"/>
      <c r="P7" s="72"/>
    </row>
    <row r="8" spans="1:17">
      <c r="A8" s="6"/>
      <c r="B8" s="6" t="s">
        <v>6</v>
      </c>
      <c r="C8" s="6" t="s">
        <v>7</v>
      </c>
      <c r="E8" s="6" t="s">
        <v>6</v>
      </c>
      <c r="F8" s="6" t="s">
        <v>7</v>
      </c>
      <c r="H8" s="6" t="s">
        <v>6</v>
      </c>
      <c r="I8" s="6" t="s">
        <v>7</v>
      </c>
      <c r="K8" s="6" t="s">
        <v>6</v>
      </c>
      <c r="L8" s="6" t="s">
        <v>7</v>
      </c>
      <c r="N8" s="6" t="s">
        <v>6</v>
      </c>
      <c r="O8" s="6" t="s">
        <v>7</v>
      </c>
    </row>
    <row r="9" spans="1:17">
      <c r="A9" s="6">
        <v>1</v>
      </c>
      <c r="B9" s="46">
        <v>1</v>
      </c>
      <c r="C9" s="46">
        <v>8.4000000000000003E-4</v>
      </c>
      <c r="E9" s="46">
        <v>1</v>
      </c>
      <c r="F9" s="46">
        <v>1.0499999999999999E-3</v>
      </c>
      <c r="H9" s="46">
        <v>1</v>
      </c>
      <c r="I9" s="46">
        <v>1.2600000000000001E-3</v>
      </c>
      <c r="J9" s="46"/>
      <c r="K9" s="46">
        <v>1</v>
      </c>
      <c r="L9" s="46">
        <v>1.57E-3</v>
      </c>
      <c r="N9" s="46">
        <v>1</v>
      </c>
      <c r="O9">
        <v>0</v>
      </c>
    </row>
    <row r="10" spans="1:17">
      <c r="A10" s="6">
        <v>2</v>
      </c>
      <c r="B10" s="46">
        <v>0.95933000000000002</v>
      </c>
      <c r="C10" s="46">
        <v>4.5500000000000002E-3</v>
      </c>
      <c r="E10" s="46">
        <v>0.95823000000000003</v>
      </c>
      <c r="F10" s="46">
        <v>5.8100000000000001E-3</v>
      </c>
      <c r="H10" s="46">
        <v>0.95687999999999995</v>
      </c>
      <c r="I10" s="46">
        <v>7.1500000000000001E-3</v>
      </c>
      <c r="K10" s="46">
        <v>0.95369999999999999</v>
      </c>
      <c r="L10" s="46">
        <v>9.4699999999999993E-3</v>
      </c>
      <c r="N10" s="46">
        <v>0.95743999999999996</v>
      </c>
      <c r="O10">
        <v>3.14E-3</v>
      </c>
    </row>
    <row r="11" spans="1:17">
      <c r="A11" s="6">
        <v>3</v>
      </c>
      <c r="B11" s="46">
        <v>0.87587000000000004</v>
      </c>
      <c r="C11" s="46">
        <v>1.163E-2</v>
      </c>
      <c r="E11" s="46">
        <v>0.87217999999999996</v>
      </c>
      <c r="F11" s="46">
        <v>1.49E-2</v>
      </c>
      <c r="H11" s="46">
        <v>0.86677000000000004</v>
      </c>
      <c r="I11" s="46">
        <v>1.8540000000000001E-2</v>
      </c>
      <c r="K11" s="46">
        <v>0.85653999999999997</v>
      </c>
      <c r="L11" s="46">
        <v>2.469E-2</v>
      </c>
      <c r="N11" s="46">
        <v>0.87344999999999995</v>
      </c>
      <c r="O11">
        <v>9.75E-3</v>
      </c>
    </row>
    <row r="12" spans="1:17">
      <c r="A12" s="6">
        <v>4</v>
      </c>
      <c r="B12" s="46">
        <v>0.79047999999999996</v>
      </c>
      <c r="C12" s="46">
        <v>1.8190000000000001E-2</v>
      </c>
      <c r="E12" s="46">
        <v>0.78420000000000001</v>
      </c>
      <c r="F12" s="46">
        <v>2.3300000000000001E-2</v>
      </c>
      <c r="H12" s="46">
        <v>0.77331000000000005</v>
      </c>
      <c r="I12" s="46">
        <v>2.9139999999999999E-2</v>
      </c>
      <c r="K12" s="46">
        <v>0.75180000000000002</v>
      </c>
      <c r="L12" s="46">
        <v>3.9269999999999999E-2</v>
      </c>
      <c r="N12" s="46">
        <v>0.78820000000000001</v>
      </c>
      <c r="O12">
        <v>1.6910000000000001E-2</v>
      </c>
    </row>
    <row r="13" spans="1:17">
      <c r="A13" s="6">
        <v>5</v>
      </c>
      <c r="B13" s="46">
        <v>0.70501999999999998</v>
      </c>
      <c r="C13" s="46">
        <v>2.41E-2</v>
      </c>
      <c r="E13" s="46">
        <v>0.69613000000000003</v>
      </c>
      <c r="F13" s="46">
        <v>3.0849999999999999E-2</v>
      </c>
      <c r="H13" s="46">
        <v>0.67969999999999997</v>
      </c>
      <c r="I13" s="46">
        <v>3.8580000000000003E-2</v>
      </c>
      <c r="K13" s="46">
        <v>0.64664999999999995</v>
      </c>
      <c r="L13" s="46">
        <v>5.203E-2</v>
      </c>
      <c r="N13" s="46">
        <v>0.70279999999999998</v>
      </c>
      <c r="O13">
        <v>2.4250000000000001E-2</v>
      </c>
    </row>
    <row r="14" spans="1:17">
      <c r="A14" s="6">
        <v>6</v>
      </c>
      <c r="B14" s="46">
        <v>0.61956</v>
      </c>
      <c r="C14" s="46">
        <v>2.9329999999999998E-2</v>
      </c>
      <c r="E14" s="46">
        <v>0.60809000000000002</v>
      </c>
      <c r="F14" s="46">
        <v>3.7470000000000003E-2</v>
      </c>
      <c r="H14" s="46">
        <v>0.58621999999999996</v>
      </c>
      <c r="I14" s="46">
        <v>4.675E-2</v>
      </c>
      <c r="K14" s="46">
        <v>0.54203999999999997</v>
      </c>
      <c r="L14" s="46">
        <v>6.2630000000000005E-2</v>
      </c>
      <c r="N14" s="46">
        <v>0.61702000000000001</v>
      </c>
      <c r="O14">
        <v>3.1890000000000002E-2</v>
      </c>
    </row>
    <row r="15" spans="1:17">
      <c r="A15" s="6">
        <v>7</v>
      </c>
      <c r="B15" s="46">
        <v>0.53415000000000001</v>
      </c>
      <c r="C15" s="46">
        <v>3.3770000000000001E-2</v>
      </c>
      <c r="E15" s="46">
        <v>0.52019000000000004</v>
      </c>
      <c r="F15" s="46">
        <v>4.3020000000000003E-2</v>
      </c>
      <c r="H15" s="46">
        <v>0.49309999999999998</v>
      </c>
      <c r="I15" s="46">
        <v>5.3370000000000001E-2</v>
      </c>
      <c r="K15" s="46">
        <v>0.43870999999999999</v>
      </c>
      <c r="L15" s="46">
        <v>7.0459999999999995E-2</v>
      </c>
      <c r="N15" s="46">
        <v>0.53137000000000001</v>
      </c>
      <c r="O15">
        <v>3.9210000000000002E-2</v>
      </c>
    </row>
    <row r="16" spans="1:17">
      <c r="A16" s="6">
        <v>8</v>
      </c>
      <c r="B16" s="46">
        <v>0.44885000000000003</v>
      </c>
      <c r="C16" s="46">
        <v>3.7240000000000002E-2</v>
      </c>
      <c r="E16" s="46">
        <v>0.43256</v>
      </c>
      <c r="F16" s="46">
        <v>4.7219999999999998E-2</v>
      </c>
      <c r="H16" s="46">
        <v>0.40062999999999999</v>
      </c>
      <c r="I16" s="46">
        <v>5.8009999999999999E-2</v>
      </c>
      <c r="K16" s="46">
        <v>0.33761999999999998</v>
      </c>
      <c r="L16" s="46">
        <v>7.4639999999999998E-2</v>
      </c>
      <c r="N16" s="46">
        <v>0.44635000000000002</v>
      </c>
      <c r="O16">
        <v>4.5109999999999997E-2</v>
      </c>
    </row>
    <row r="17" spans="1:15">
      <c r="A17" s="6">
        <v>9</v>
      </c>
      <c r="B17" s="46">
        <v>0.36374000000000001</v>
      </c>
      <c r="C17" s="46">
        <v>3.9449999999999999E-2</v>
      </c>
      <c r="E17" s="46">
        <v>0.34539999999999998</v>
      </c>
      <c r="F17" s="46">
        <v>4.965E-2</v>
      </c>
      <c r="H17" s="46">
        <v>0.30929000000000001</v>
      </c>
      <c r="I17" s="46">
        <v>0.06</v>
      </c>
      <c r="K17" s="46">
        <v>0.24054</v>
      </c>
      <c r="L17" s="46">
        <v>7.3929999999999996E-2</v>
      </c>
      <c r="N17" s="46">
        <v>0.36137999999999998</v>
      </c>
      <c r="O17">
        <v>4.9000000000000002E-2</v>
      </c>
    </row>
    <row r="18" spans="1:15">
      <c r="A18" s="6">
        <v>10</v>
      </c>
      <c r="B18" s="46">
        <v>0.27895999999999999</v>
      </c>
      <c r="C18" s="46">
        <v>3.9940000000000003E-2</v>
      </c>
      <c r="E18" s="46">
        <v>0.25903999999999999</v>
      </c>
      <c r="F18" s="46">
        <v>4.9680000000000002E-2</v>
      </c>
      <c r="H18" s="46">
        <v>0.21992999999999999</v>
      </c>
      <c r="I18" s="46">
        <v>5.8380000000000001E-2</v>
      </c>
      <c r="K18" s="46">
        <v>0.15226000000000001</v>
      </c>
      <c r="L18" s="46">
        <v>6.7100000000000007E-2</v>
      </c>
      <c r="N18" s="46">
        <v>0.27699000000000001</v>
      </c>
      <c r="O18">
        <v>4.9840000000000002E-2</v>
      </c>
    </row>
    <row r="19" spans="1:15">
      <c r="A19" s="6">
        <v>11</v>
      </c>
      <c r="B19" s="46">
        <v>0.19484000000000001</v>
      </c>
      <c r="C19" s="46">
        <v>3.805E-2</v>
      </c>
      <c r="E19" s="46">
        <v>0.17424999999999999</v>
      </c>
      <c r="F19" s="46">
        <v>4.6359999999999998E-2</v>
      </c>
      <c r="H19" s="46">
        <v>0.13496</v>
      </c>
      <c r="I19" s="46">
        <v>5.1799999999999999E-2</v>
      </c>
      <c r="K19" s="46">
        <v>8.4779999999999994E-2</v>
      </c>
      <c r="L19" s="46">
        <v>5.5050000000000002E-2</v>
      </c>
      <c r="N19" s="46">
        <v>0.19314000000000001</v>
      </c>
      <c r="O19">
        <v>4.7509999999999997E-2</v>
      </c>
    </row>
    <row r="20" spans="1:15">
      <c r="A20" s="6">
        <v>12</v>
      </c>
      <c r="B20" s="46">
        <v>0.1125</v>
      </c>
      <c r="C20" s="46">
        <v>3.2539999999999999E-2</v>
      </c>
      <c r="E20" s="46">
        <v>9.3899999999999997E-2</v>
      </c>
      <c r="F20" s="46">
        <v>3.814E-2</v>
      </c>
      <c r="H20" s="46">
        <v>6.5079999999999999E-2</v>
      </c>
      <c r="I20" s="46">
        <v>3.968E-2</v>
      </c>
      <c r="K20" s="46">
        <v>4.4069999999999998E-2</v>
      </c>
      <c r="L20" s="46">
        <v>4.2090000000000002E-2</v>
      </c>
      <c r="N20" s="46">
        <v>0.11121</v>
      </c>
      <c r="O20">
        <v>3.9800000000000002E-2</v>
      </c>
    </row>
    <row r="21" spans="1:15">
      <c r="A21" s="6">
        <v>13</v>
      </c>
      <c r="B21" s="46">
        <v>4.4119999999999999E-2</v>
      </c>
      <c r="C21" s="46">
        <v>2.2460000000000001E-2</v>
      </c>
      <c r="E21" s="46">
        <v>3.5589999999999997E-2</v>
      </c>
      <c r="F21" s="46">
        <v>2.555E-2</v>
      </c>
      <c r="H21" s="46">
        <v>2.6589999999999999E-2</v>
      </c>
      <c r="I21" s="46">
        <v>2.6890000000000001E-2</v>
      </c>
      <c r="K21" s="46">
        <v>2.0750000000000001E-2</v>
      </c>
      <c r="L21" s="46">
        <v>0.03</v>
      </c>
      <c r="N21" s="46">
        <v>4.3580000000000001E-2</v>
      </c>
      <c r="O21">
        <v>2.588E-2</v>
      </c>
    </row>
    <row r="22" spans="1:15">
      <c r="A22" s="6">
        <v>14</v>
      </c>
      <c r="B22" s="46">
        <v>1.336E-2</v>
      </c>
      <c r="C22" s="46">
        <v>1.303E-2</v>
      </c>
      <c r="E22" s="46">
        <v>1.077E-2</v>
      </c>
      <c r="F22" s="46">
        <v>1.4710000000000001E-2</v>
      </c>
      <c r="H22" s="46">
        <v>8.6800000000000002E-3</v>
      </c>
      <c r="I22" s="46">
        <v>1.593E-2</v>
      </c>
      <c r="K22" s="46">
        <v>7.1500000000000001E-3</v>
      </c>
      <c r="L22" s="46">
        <v>1.814E-2</v>
      </c>
      <c r="N22" s="46">
        <v>1.29E-2</v>
      </c>
      <c r="O22">
        <v>1.393E-2</v>
      </c>
    </row>
    <row r="23" spans="1:15">
      <c r="A23" s="6">
        <v>15</v>
      </c>
      <c r="B23" s="46">
        <v>1.58E-3</v>
      </c>
      <c r="C23" s="46">
        <v>4.6499999999999996E-3</v>
      </c>
      <c r="E23" s="46">
        <v>1.1199999999999999E-3</v>
      </c>
      <c r="F23" s="46">
        <v>4.8999999999999998E-3</v>
      </c>
      <c r="H23" s="46">
        <v>8.8000000000000003E-4</v>
      </c>
      <c r="I23" s="46">
        <v>5.2300000000000003E-3</v>
      </c>
      <c r="K23" s="46">
        <v>7.2999999999999996E-4</v>
      </c>
      <c r="L23" s="46">
        <v>5.94E-3</v>
      </c>
      <c r="N23" s="46">
        <v>1.6299999999999999E-3</v>
      </c>
      <c r="O23">
        <v>4.6499999999999996E-3</v>
      </c>
    </row>
    <row r="24" spans="1:15">
      <c r="A24" s="6">
        <v>16</v>
      </c>
      <c r="B24" s="46">
        <v>1.58E-3</v>
      </c>
      <c r="C24" s="46">
        <v>-4.6499999999999996E-3</v>
      </c>
      <c r="E24" s="46">
        <v>1.1199999999999999E-3</v>
      </c>
      <c r="F24" s="46">
        <v>-4.8999999999999998E-3</v>
      </c>
      <c r="H24" s="46">
        <v>8.8000000000000003E-4</v>
      </c>
      <c r="I24" s="46">
        <v>-5.2300000000000003E-3</v>
      </c>
      <c r="K24" s="46">
        <v>7.2999999999999996E-4</v>
      </c>
      <c r="L24" s="46">
        <v>-5.94E-3</v>
      </c>
      <c r="N24" s="46">
        <v>1.6299999999999999E-3</v>
      </c>
      <c r="O24">
        <v>-4.6499999999999996E-3</v>
      </c>
    </row>
    <row r="25" spans="1:15">
      <c r="A25" s="6">
        <v>17</v>
      </c>
      <c r="B25" s="46">
        <v>1.336E-2</v>
      </c>
      <c r="C25" s="46">
        <v>-1.303E-2</v>
      </c>
      <c r="E25" s="46">
        <v>1.077E-2</v>
      </c>
      <c r="F25" s="46">
        <v>-1.4710000000000001E-2</v>
      </c>
      <c r="H25" s="46">
        <v>8.6800000000000002E-3</v>
      </c>
      <c r="I25" s="46">
        <v>-1.593E-2</v>
      </c>
      <c r="K25" s="46">
        <v>7.1500000000000001E-3</v>
      </c>
      <c r="L25" s="46">
        <v>-1.814E-2</v>
      </c>
      <c r="N25" s="46">
        <v>1.29E-2</v>
      </c>
      <c r="O25">
        <v>-1.393E-2</v>
      </c>
    </row>
    <row r="26" spans="1:15">
      <c r="A26" s="6">
        <v>18</v>
      </c>
      <c r="B26" s="46">
        <v>4.4119999999999999E-2</v>
      </c>
      <c r="C26" s="46">
        <v>-2.2460000000000001E-2</v>
      </c>
      <c r="E26" s="46">
        <v>3.5589999999999997E-2</v>
      </c>
      <c r="F26" s="46">
        <v>-2.555E-2</v>
      </c>
      <c r="H26" s="46">
        <v>2.6589999999999999E-2</v>
      </c>
      <c r="I26" s="46">
        <v>-2.6890000000000001E-2</v>
      </c>
      <c r="K26" s="46">
        <v>2.0750000000000001E-2</v>
      </c>
      <c r="L26" s="46">
        <v>-0.03</v>
      </c>
      <c r="N26" s="46">
        <v>4.3580000000000001E-2</v>
      </c>
      <c r="O26">
        <v>-2.588E-2</v>
      </c>
    </row>
    <row r="27" spans="1:15">
      <c r="A27" s="6">
        <v>19</v>
      </c>
      <c r="B27" s="46">
        <v>0.1125</v>
      </c>
      <c r="C27" s="46">
        <v>-3.2539999999999999E-2</v>
      </c>
      <c r="E27" s="46">
        <v>9.3899999999999997E-2</v>
      </c>
      <c r="F27" s="46">
        <v>-3.814E-2</v>
      </c>
      <c r="H27" s="46">
        <v>6.5079999999999999E-2</v>
      </c>
      <c r="I27" s="46">
        <v>-3.968E-2</v>
      </c>
      <c r="K27" s="46">
        <v>4.4069999999999998E-2</v>
      </c>
      <c r="L27" s="46">
        <v>-4.2090000000000002E-2</v>
      </c>
      <c r="N27" s="46">
        <v>0.11121</v>
      </c>
      <c r="O27">
        <v>-3.9800000000000002E-2</v>
      </c>
    </row>
    <row r="28" spans="1:15">
      <c r="A28" s="6">
        <v>20</v>
      </c>
      <c r="B28" s="46">
        <v>0.19484000000000001</v>
      </c>
      <c r="C28" s="46">
        <v>-3.805E-2</v>
      </c>
      <c r="E28" s="46">
        <v>0.17424999999999999</v>
      </c>
      <c r="F28" s="46">
        <v>-4.6359999999999998E-2</v>
      </c>
      <c r="H28" s="46">
        <v>0.13496</v>
      </c>
      <c r="I28" s="46">
        <v>-5.1799999999999999E-2</v>
      </c>
      <c r="K28" s="46">
        <v>8.4779999999999994E-2</v>
      </c>
      <c r="L28" s="46">
        <v>-5.5050000000000002E-2</v>
      </c>
      <c r="N28" s="46">
        <v>0.19314000000000001</v>
      </c>
      <c r="O28">
        <v>-4.7509999999999997E-2</v>
      </c>
    </row>
    <row r="29" spans="1:15">
      <c r="A29" s="6">
        <v>21</v>
      </c>
      <c r="B29" s="46">
        <v>0.27895999999999999</v>
      </c>
      <c r="C29" s="46">
        <v>-3.9940000000000003E-2</v>
      </c>
      <c r="E29" s="46">
        <v>0.25903999999999999</v>
      </c>
      <c r="F29" s="46">
        <v>-4.9680000000000002E-2</v>
      </c>
      <c r="H29" s="46">
        <v>0.21992999999999999</v>
      </c>
      <c r="I29" s="46">
        <v>-5.8380000000000001E-2</v>
      </c>
      <c r="K29" s="46">
        <v>0.15226000000000001</v>
      </c>
      <c r="L29" s="46">
        <v>-6.7100000000000007E-2</v>
      </c>
      <c r="N29" s="46">
        <v>0.27699000000000001</v>
      </c>
      <c r="O29">
        <v>-4.9840000000000002E-2</v>
      </c>
    </row>
    <row r="30" spans="1:15">
      <c r="A30" s="6">
        <v>22</v>
      </c>
      <c r="B30" s="46">
        <v>0.36374000000000001</v>
      </c>
      <c r="C30" s="46">
        <v>-3.9449999999999999E-2</v>
      </c>
      <c r="E30" s="46">
        <v>0.34539999999999998</v>
      </c>
      <c r="F30" s="46">
        <v>-4.965E-2</v>
      </c>
      <c r="H30" s="46">
        <v>0.30929000000000001</v>
      </c>
      <c r="I30" s="46">
        <v>-0.06</v>
      </c>
      <c r="K30" s="46">
        <v>0.24054</v>
      </c>
      <c r="L30" s="46">
        <v>-7.3929999999999996E-2</v>
      </c>
      <c r="N30" s="46">
        <v>0.36137999999999998</v>
      </c>
      <c r="O30">
        <v>-4.9000000000000002E-2</v>
      </c>
    </row>
    <row r="31" spans="1:15">
      <c r="A31" s="6">
        <v>23</v>
      </c>
      <c r="B31" s="46">
        <v>0.44885000000000003</v>
      </c>
      <c r="C31" s="46">
        <v>-3.7240000000000002E-2</v>
      </c>
      <c r="E31" s="46">
        <v>0.43256</v>
      </c>
      <c r="F31" s="46">
        <v>-4.7219999999999998E-2</v>
      </c>
      <c r="H31" s="46">
        <v>0.40062999999999999</v>
      </c>
      <c r="I31" s="46">
        <v>-5.8009999999999999E-2</v>
      </c>
      <c r="K31" s="46">
        <v>0.33761999999999998</v>
      </c>
      <c r="L31" s="46">
        <v>-7.4639999999999998E-2</v>
      </c>
      <c r="N31" s="46">
        <v>0.44635000000000002</v>
      </c>
      <c r="O31">
        <v>-4.5109999999999997E-2</v>
      </c>
    </row>
    <row r="32" spans="1:15">
      <c r="A32" s="6">
        <v>24</v>
      </c>
      <c r="B32" s="46">
        <v>0.53415000000000001</v>
      </c>
      <c r="C32" s="46">
        <v>-3.3770000000000001E-2</v>
      </c>
      <c r="E32" s="46">
        <v>0.52019000000000004</v>
      </c>
      <c r="F32" s="46">
        <v>-4.3020000000000003E-2</v>
      </c>
      <c r="H32" s="46">
        <v>0.49309999999999998</v>
      </c>
      <c r="I32" s="46">
        <v>-5.3370000000000001E-2</v>
      </c>
      <c r="K32" s="46">
        <v>0.43870999999999999</v>
      </c>
      <c r="L32" s="46">
        <v>-7.0459999999999995E-2</v>
      </c>
      <c r="N32" s="46">
        <v>0.53137000000000001</v>
      </c>
      <c r="O32">
        <v>-3.9210000000000002E-2</v>
      </c>
    </row>
    <row r="33" spans="1:17">
      <c r="A33" s="6">
        <v>25</v>
      </c>
      <c r="B33" s="46">
        <v>0.61956</v>
      </c>
      <c r="C33" s="46">
        <v>-2.9329999999999998E-2</v>
      </c>
      <c r="E33" s="46">
        <v>0.60809000000000002</v>
      </c>
      <c r="F33" s="46">
        <v>-3.7470000000000003E-2</v>
      </c>
      <c r="H33" s="46">
        <v>0.58621999999999996</v>
      </c>
      <c r="I33" s="46">
        <v>-4.675E-2</v>
      </c>
      <c r="K33" s="46">
        <v>0.54203999999999997</v>
      </c>
      <c r="L33" s="46">
        <v>-6.2630000000000005E-2</v>
      </c>
      <c r="N33" s="46">
        <v>0.61702000000000001</v>
      </c>
      <c r="O33">
        <v>-3.1890000000000002E-2</v>
      </c>
    </row>
    <row r="34" spans="1:17">
      <c r="A34" s="6">
        <v>26</v>
      </c>
      <c r="B34" s="46">
        <v>0.70501999999999998</v>
      </c>
      <c r="C34" s="46">
        <v>-2.41E-2</v>
      </c>
      <c r="E34" s="46">
        <v>0.69613000000000003</v>
      </c>
      <c r="F34" s="46">
        <v>-3.0849999999999999E-2</v>
      </c>
      <c r="H34" s="46">
        <v>0.67969999999999997</v>
      </c>
      <c r="I34" s="46">
        <v>-3.8580000000000003E-2</v>
      </c>
      <c r="K34" s="46">
        <v>0.64664999999999995</v>
      </c>
      <c r="L34" s="46">
        <v>-5.203E-2</v>
      </c>
      <c r="N34" s="46">
        <v>0.70279999999999998</v>
      </c>
      <c r="O34">
        <v>-2.4250000000000001E-2</v>
      </c>
    </row>
    <row r="35" spans="1:17">
      <c r="A35" s="6">
        <v>27</v>
      </c>
      <c r="B35" s="46">
        <v>0.79047999999999996</v>
      </c>
      <c r="C35" s="46">
        <v>-1.8190000000000001E-2</v>
      </c>
      <c r="E35" s="46">
        <v>0.78420000000000001</v>
      </c>
      <c r="F35" s="46">
        <v>-2.3300000000000001E-2</v>
      </c>
      <c r="H35" s="46">
        <v>0.77331000000000005</v>
      </c>
      <c r="I35" s="46">
        <v>-2.9139999999999999E-2</v>
      </c>
      <c r="K35" s="46">
        <v>0.75180000000000002</v>
      </c>
      <c r="L35" s="46">
        <v>-3.9269999999999999E-2</v>
      </c>
      <c r="N35" s="46">
        <v>0.78820000000000001</v>
      </c>
      <c r="O35">
        <v>-1.6910000000000001E-2</v>
      </c>
    </row>
    <row r="36" spans="1:17">
      <c r="A36" s="6">
        <v>28</v>
      </c>
      <c r="B36" s="46">
        <v>0.87587000000000004</v>
      </c>
      <c r="C36" s="46">
        <v>-1.163E-2</v>
      </c>
      <c r="E36" s="46">
        <v>0.87217999999999996</v>
      </c>
      <c r="F36" s="46">
        <v>-1.49E-2</v>
      </c>
      <c r="H36" s="46">
        <v>0.86677000000000004</v>
      </c>
      <c r="I36" s="46">
        <v>-1.8540000000000001E-2</v>
      </c>
      <c r="K36" s="46">
        <v>0.85653999999999997</v>
      </c>
      <c r="L36" s="46">
        <v>-2.469E-2</v>
      </c>
      <c r="N36" s="46">
        <v>0.87344999999999995</v>
      </c>
      <c r="O36">
        <v>-9.75E-3</v>
      </c>
    </row>
    <row r="37" spans="1:17">
      <c r="A37" s="6">
        <v>29</v>
      </c>
      <c r="B37" s="46">
        <v>0.95933000000000002</v>
      </c>
      <c r="C37" s="46">
        <v>-4.5500000000000002E-3</v>
      </c>
      <c r="E37" s="46">
        <v>0.95823000000000003</v>
      </c>
      <c r="F37" s="46">
        <v>-5.8100000000000001E-3</v>
      </c>
      <c r="H37" s="46">
        <v>0.95687999999999995</v>
      </c>
      <c r="I37" s="46">
        <v>-7.1500000000000001E-3</v>
      </c>
      <c r="K37" s="46">
        <v>0.95369999999999999</v>
      </c>
      <c r="L37" s="46">
        <v>-9.4699999999999993E-3</v>
      </c>
      <c r="N37" s="46">
        <v>0.95743999999999996</v>
      </c>
      <c r="O37">
        <v>-3.14E-3</v>
      </c>
    </row>
    <row r="38" spans="1:17">
      <c r="A38" s="6">
        <v>30</v>
      </c>
      <c r="B38" s="46">
        <v>1</v>
      </c>
      <c r="C38" s="46">
        <v>-8.4000000000000003E-4</v>
      </c>
      <c r="E38" s="46">
        <v>1</v>
      </c>
      <c r="F38" s="46">
        <v>-1.0499999999999999E-3</v>
      </c>
      <c r="H38" s="46">
        <v>1</v>
      </c>
      <c r="I38" s="46">
        <v>-1.2600000000000001E-3</v>
      </c>
      <c r="K38" s="46">
        <v>1</v>
      </c>
      <c r="L38" s="46">
        <v>-1.57E-3</v>
      </c>
      <c r="N38" s="46">
        <v>1</v>
      </c>
      <c r="O38">
        <v>0</v>
      </c>
    </row>
    <row r="39" spans="1:17" ht="15" thickBot="1"/>
    <row r="40" spans="1:17" ht="15" thickBot="1">
      <c r="A40" s="74" t="s">
        <v>148</v>
      </c>
      <c r="B40" s="75"/>
      <c r="C40" s="75"/>
      <c r="D40" s="75"/>
      <c r="E40" s="75"/>
      <c r="F40" s="75"/>
      <c r="G40" s="75"/>
      <c r="H40" s="75"/>
      <c r="I40" s="75"/>
      <c r="J40" s="75"/>
      <c r="K40" s="75"/>
      <c r="L40" s="75"/>
      <c r="M40" s="75"/>
      <c r="N40" s="75"/>
      <c r="O40" s="75"/>
      <c r="P40" s="75"/>
      <c r="Q40" s="76"/>
    </row>
    <row r="41" spans="1:17">
      <c r="B41" s="72" t="s">
        <v>146</v>
      </c>
      <c r="C41" s="72"/>
      <c r="E41" s="72" t="s">
        <v>150</v>
      </c>
      <c r="F41" s="72"/>
      <c r="H41" s="72" t="s">
        <v>151</v>
      </c>
      <c r="I41" s="72"/>
    </row>
    <row r="42" spans="1:17">
      <c r="B42" s="6" t="s">
        <v>6</v>
      </c>
      <c r="C42" s="6" t="s">
        <v>7</v>
      </c>
      <c r="E42" s="6" t="s">
        <v>6</v>
      </c>
      <c r="F42" s="6" t="s">
        <v>7</v>
      </c>
      <c r="H42" s="6" t="s">
        <v>6</v>
      </c>
      <c r="I42" s="6" t="s">
        <v>7</v>
      </c>
    </row>
    <row r="43" spans="1:17">
      <c r="A43" s="6">
        <v>1</v>
      </c>
      <c r="B43" s="46">
        <v>1</v>
      </c>
      <c r="C43">
        <v>0</v>
      </c>
      <c r="E43">
        <v>1</v>
      </c>
      <c r="F43">
        <v>1.3999999999999999E-4</v>
      </c>
      <c r="H43" s="46">
        <v>1</v>
      </c>
      <c r="I43" s="46">
        <v>0</v>
      </c>
    </row>
    <row r="44" spans="1:17">
      <c r="A44" s="6">
        <v>2</v>
      </c>
      <c r="B44" s="46">
        <v>0.95511000000000001</v>
      </c>
      <c r="C44">
        <v>4.3600000000000002E-3</v>
      </c>
      <c r="E44">
        <v>0.95121999999999995</v>
      </c>
      <c r="F44">
        <v>5.6100000000000004E-3</v>
      </c>
      <c r="H44" s="46">
        <v>0.94747000000000003</v>
      </c>
      <c r="I44" s="46">
        <v>8.3400000000000002E-3</v>
      </c>
    </row>
    <row r="45" spans="1:17">
      <c r="A45" s="6">
        <v>3</v>
      </c>
      <c r="B45" s="46">
        <v>0.86836999999999998</v>
      </c>
      <c r="C45">
        <v>1.3769999999999999E-2</v>
      </c>
      <c r="E45">
        <v>0.86626999999999998</v>
      </c>
      <c r="F45">
        <v>1.6240000000000001E-2</v>
      </c>
      <c r="H45" s="46">
        <v>0.84287999999999996</v>
      </c>
      <c r="I45" s="46">
        <v>2.724E-2</v>
      </c>
    </row>
    <row r="46" spans="1:17">
      <c r="A46" s="6">
        <v>4</v>
      </c>
      <c r="B46" s="46">
        <v>0.78042999999999996</v>
      </c>
      <c r="C46">
        <v>2.4979999999999999E-2</v>
      </c>
      <c r="E46">
        <v>0.78124000000000005</v>
      </c>
      <c r="F46">
        <v>2.8649999999999998E-2</v>
      </c>
      <c r="H46" s="46">
        <v>0.73197000000000001</v>
      </c>
      <c r="I46" s="46">
        <v>5.1749999999999997E-2</v>
      </c>
    </row>
    <row r="47" spans="1:17">
      <c r="A47" s="6">
        <v>5</v>
      </c>
      <c r="B47" s="46">
        <v>0.69269000000000003</v>
      </c>
      <c r="C47">
        <v>3.773E-2</v>
      </c>
      <c r="E47">
        <v>0.69625999999999999</v>
      </c>
      <c r="F47">
        <v>4.2659999999999997E-2</v>
      </c>
      <c r="H47" s="46">
        <v>0.61924999999999997</v>
      </c>
      <c r="I47" s="46">
        <v>8.1820000000000004E-2</v>
      </c>
    </row>
    <row r="48" spans="1:17">
      <c r="A48" s="6">
        <v>6</v>
      </c>
      <c r="B48" s="46">
        <v>0.60521999999999998</v>
      </c>
      <c r="C48">
        <v>5.2060000000000002E-2</v>
      </c>
      <c r="E48">
        <v>0.61146</v>
      </c>
      <c r="F48">
        <v>5.8369999999999998E-2</v>
      </c>
      <c r="H48" s="46">
        <v>0.50868999999999998</v>
      </c>
      <c r="I48" s="46">
        <v>0.11194</v>
      </c>
    </row>
    <row r="49" spans="1:9">
      <c r="A49" s="6">
        <v>7</v>
      </c>
      <c r="B49" s="46">
        <v>0.51790000000000003</v>
      </c>
      <c r="C49">
        <v>6.6430000000000003E-2</v>
      </c>
      <c r="E49">
        <v>0.52680000000000005</v>
      </c>
      <c r="F49">
        <v>7.4260000000000007E-2</v>
      </c>
      <c r="H49" s="46">
        <v>0.40704000000000001</v>
      </c>
      <c r="I49" s="46">
        <v>0.13314000000000001</v>
      </c>
    </row>
    <row r="50" spans="1:9">
      <c r="A50" s="6">
        <v>8</v>
      </c>
      <c r="B50" s="46">
        <v>0.43185000000000001</v>
      </c>
      <c r="C50">
        <v>7.7759999999999996E-2</v>
      </c>
      <c r="E50">
        <v>0.44248999999999999</v>
      </c>
      <c r="F50">
        <v>8.7239999999999998E-2</v>
      </c>
      <c r="H50" s="46">
        <v>0.31483</v>
      </c>
      <c r="I50" s="46">
        <v>0.1434</v>
      </c>
    </row>
    <row r="51" spans="1:9">
      <c r="A51" s="6">
        <v>9</v>
      </c>
      <c r="B51" s="46">
        <v>0.34666999999999998</v>
      </c>
      <c r="C51">
        <v>8.5029999999999994E-2</v>
      </c>
      <c r="E51">
        <v>0.35810999999999998</v>
      </c>
      <c r="F51">
        <v>9.597E-2</v>
      </c>
      <c r="H51" s="46">
        <v>0.23207</v>
      </c>
      <c r="I51" s="46">
        <v>0.14065</v>
      </c>
    </row>
    <row r="52" spans="1:9">
      <c r="A52" s="6">
        <v>10</v>
      </c>
      <c r="B52" s="46">
        <v>0.26334999999999997</v>
      </c>
      <c r="C52">
        <v>8.5709999999999995E-2</v>
      </c>
      <c r="E52">
        <v>0.27444000000000002</v>
      </c>
      <c r="F52">
        <v>9.7790000000000002E-2</v>
      </c>
      <c r="H52" s="46">
        <v>0.16042999999999999</v>
      </c>
      <c r="I52" s="46">
        <v>0.12622</v>
      </c>
    </row>
    <row r="53" spans="1:9">
      <c r="A53" s="6">
        <v>11</v>
      </c>
      <c r="B53" s="46">
        <v>0.18143999999999999</v>
      </c>
      <c r="C53">
        <v>8.0199999999999994E-2</v>
      </c>
      <c r="E53">
        <v>0.19114999999999999</v>
      </c>
      <c r="F53">
        <v>9.2439999999999994E-2</v>
      </c>
      <c r="H53" s="46">
        <v>0.10162</v>
      </c>
      <c r="I53" s="46">
        <v>0.1007</v>
      </c>
    </row>
    <row r="54" spans="1:9">
      <c r="A54" s="6">
        <v>12</v>
      </c>
      <c r="B54" s="46">
        <v>0.10516</v>
      </c>
      <c r="C54">
        <v>6.4780000000000004E-2</v>
      </c>
      <c r="E54">
        <v>0.11174000000000001</v>
      </c>
      <c r="F54">
        <v>7.5749999999999998E-2</v>
      </c>
      <c r="H54" s="46">
        <v>5.7970000000000001E-2</v>
      </c>
      <c r="I54" s="46">
        <v>7.2739999999999999E-2</v>
      </c>
    </row>
    <row r="55" spans="1:9">
      <c r="A55" s="6">
        <v>13</v>
      </c>
      <c r="B55" s="46">
        <v>4.249E-2</v>
      </c>
      <c r="C55">
        <v>4.199E-2</v>
      </c>
      <c r="E55">
        <v>4.2939999999999999E-2</v>
      </c>
      <c r="F55">
        <v>4.8120000000000003E-2</v>
      </c>
      <c r="H55" s="46">
        <v>3.04E-2</v>
      </c>
      <c r="I55" s="46">
        <v>4.9889999999999997E-2</v>
      </c>
    </row>
    <row r="56" spans="1:9">
      <c r="A56" s="6">
        <v>14</v>
      </c>
      <c r="B56" s="46">
        <v>1.324E-2</v>
      </c>
      <c r="C56">
        <v>2.2159999999999999E-2</v>
      </c>
      <c r="E56">
        <v>1.106E-2</v>
      </c>
      <c r="F56">
        <v>2.2919999999999999E-2</v>
      </c>
      <c r="H56" s="46">
        <v>1.363E-2</v>
      </c>
      <c r="I56" s="46">
        <v>3.1539999999999999E-2</v>
      </c>
    </row>
    <row r="57" spans="1:9">
      <c r="A57" s="6">
        <v>15</v>
      </c>
      <c r="B57" s="46">
        <v>2.0999999999999999E-3</v>
      </c>
      <c r="C57">
        <v>9.0900000000000009E-3</v>
      </c>
      <c r="E57">
        <v>1.2999999999999999E-3</v>
      </c>
      <c r="F57">
        <v>8.5199999999999998E-3</v>
      </c>
      <c r="H57" s="46">
        <v>3.9199999999999999E-3</v>
      </c>
      <c r="I57" s="46">
        <v>1.5779999999999999E-2</v>
      </c>
    </row>
    <row r="58" spans="1:9">
      <c r="A58" s="6">
        <v>16</v>
      </c>
      <c r="B58" s="46">
        <v>2.3000000000000001E-4</v>
      </c>
      <c r="C58">
        <v>-1.08E-3</v>
      </c>
      <c r="E58">
        <v>3.2000000000000003E-4</v>
      </c>
      <c r="F58">
        <v>-1.5399999999999999E-3</v>
      </c>
      <c r="H58" s="46">
        <v>6.0000000000000002E-5</v>
      </c>
      <c r="I58" s="46">
        <v>1.5499999999999999E-3</v>
      </c>
    </row>
    <row r="59" spans="1:9">
      <c r="A59" s="6">
        <v>17</v>
      </c>
      <c r="B59" s="46">
        <v>7.7499999999999999E-3</v>
      </c>
      <c r="C59">
        <v>-1.098E-2</v>
      </c>
      <c r="E59">
        <v>7.6600000000000001E-3</v>
      </c>
      <c r="F59">
        <v>-1.282E-2</v>
      </c>
      <c r="H59" s="46">
        <v>2.64E-3</v>
      </c>
      <c r="I59" s="46">
        <v>-1.193E-2</v>
      </c>
    </row>
    <row r="60" spans="1:9">
      <c r="A60" s="6">
        <v>18</v>
      </c>
      <c r="B60" s="46">
        <v>2.8660000000000001E-2</v>
      </c>
      <c r="C60">
        <v>-2.043E-2</v>
      </c>
      <c r="E60">
        <v>3.3230000000000003E-2</v>
      </c>
      <c r="F60">
        <v>-2.5870000000000001E-2</v>
      </c>
      <c r="H60" s="46">
        <v>1.278E-2</v>
      </c>
      <c r="I60" s="46">
        <v>-2.444E-2</v>
      </c>
    </row>
    <row r="61" spans="1:9">
      <c r="A61" s="6">
        <v>19</v>
      </c>
      <c r="B61" s="46">
        <v>8.1360000000000002E-2</v>
      </c>
      <c r="C61">
        <v>-3.338E-2</v>
      </c>
      <c r="E61">
        <v>9.7040000000000001E-2</v>
      </c>
      <c r="F61">
        <v>-4.2229999999999997E-2</v>
      </c>
      <c r="H61" s="46">
        <v>2.9940000000000001E-2</v>
      </c>
      <c r="I61" s="46">
        <v>-3.5630000000000002E-2</v>
      </c>
    </row>
    <row r="62" spans="1:9">
      <c r="A62" s="6">
        <v>20</v>
      </c>
      <c r="B62" s="46">
        <v>0.16042000000000001</v>
      </c>
      <c r="C62">
        <v>-4.0680000000000001E-2</v>
      </c>
      <c r="E62">
        <v>0.17948</v>
      </c>
      <c r="F62">
        <v>-4.947E-2</v>
      </c>
      <c r="H62" s="46">
        <v>5.5980000000000002E-2</v>
      </c>
      <c r="I62" s="46">
        <v>-4.6330000000000003E-2</v>
      </c>
    </row>
    <row r="63" spans="1:9">
      <c r="A63" s="6">
        <v>21</v>
      </c>
      <c r="B63" s="46">
        <v>0.24722</v>
      </c>
      <c r="C63">
        <v>-4.3200000000000002E-2</v>
      </c>
      <c r="E63">
        <v>0.26478000000000002</v>
      </c>
      <c r="F63">
        <v>-5.1580000000000001E-2</v>
      </c>
      <c r="H63" s="46">
        <v>9.6350000000000005E-2</v>
      </c>
      <c r="I63" s="46">
        <v>-5.6710000000000003E-2</v>
      </c>
    </row>
    <row r="64" spans="1:9">
      <c r="A64" s="6">
        <v>22</v>
      </c>
      <c r="B64" s="46">
        <v>0.33560000000000001</v>
      </c>
      <c r="C64">
        <v>-4.3529999999999999E-2</v>
      </c>
      <c r="E64">
        <v>0.35043999999999997</v>
      </c>
      <c r="F64">
        <v>-5.135E-2</v>
      </c>
      <c r="H64" s="46">
        <v>0.15905</v>
      </c>
      <c r="I64" s="46">
        <v>-6.3640000000000002E-2</v>
      </c>
    </row>
    <row r="65" spans="1:9">
      <c r="A65" s="6">
        <v>23</v>
      </c>
      <c r="B65" s="46">
        <v>0.42398999999999998</v>
      </c>
      <c r="C65">
        <v>-4.1869999999999997E-2</v>
      </c>
      <c r="E65">
        <v>0.43622</v>
      </c>
      <c r="F65">
        <v>-4.8860000000000001E-2</v>
      </c>
      <c r="H65" s="46">
        <v>0.25488</v>
      </c>
      <c r="I65" s="46">
        <v>-6.4479999999999996E-2</v>
      </c>
    </row>
    <row r="66" spans="1:9">
      <c r="A66" s="6">
        <v>24</v>
      </c>
      <c r="B66" s="46">
        <v>0.51266999999999996</v>
      </c>
      <c r="C66">
        <v>-3.8510000000000003E-2</v>
      </c>
      <c r="E66">
        <v>0.52234000000000003</v>
      </c>
      <c r="F66">
        <v>-4.4549999999999999E-2</v>
      </c>
      <c r="H66" s="46">
        <v>0.37086999999999998</v>
      </c>
      <c r="I66" s="46">
        <v>-6.3570000000000002E-2</v>
      </c>
    </row>
    <row r="67" spans="1:9">
      <c r="A67" s="6">
        <v>25</v>
      </c>
      <c r="B67" s="46">
        <v>0.60126999999999997</v>
      </c>
      <c r="C67">
        <v>-3.3829999999999999E-2</v>
      </c>
      <c r="E67">
        <v>0.60845000000000005</v>
      </c>
      <c r="F67">
        <v>-3.884E-2</v>
      </c>
      <c r="H67" s="46">
        <v>0.48907</v>
      </c>
      <c r="I67" s="46">
        <v>-5.9369999999999999E-2</v>
      </c>
    </row>
    <row r="68" spans="1:9">
      <c r="A68" s="6">
        <v>26</v>
      </c>
      <c r="B68" s="46">
        <v>0.68996999999999997</v>
      </c>
      <c r="C68">
        <v>-2.7789999999999999E-2</v>
      </c>
      <c r="E68">
        <v>0.69442000000000004</v>
      </c>
      <c r="F68">
        <v>-3.1780000000000003E-2</v>
      </c>
      <c r="H68" s="46">
        <v>0.60675999999999997</v>
      </c>
      <c r="I68" s="46">
        <v>-5.1790000000000003E-2</v>
      </c>
    </row>
    <row r="69" spans="1:9">
      <c r="A69" s="6">
        <v>27</v>
      </c>
      <c r="B69" s="46">
        <v>0.77881</v>
      </c>
      <c r="C69">
        <v>-2.0799999999999999E-2</v>
      </c>
      <c r="E69">
        <v>0.78025</v>
      </c>
      <c r="F69">
        <v>-2.383E-2</v>
      </c>
      <c r="H69" s="46">
        <v>0.72296000000000005</v>
      </c>
      <c r="I69" s="46">
        <v>-4.0640000000000003E-2</v>
      </c>
    </row>
    <row r="70" spans="1:9">
      <c r="A70" s="6">
        <v>28</v>
      </c>
      <c r="B70" s="46">
        <v>0.86746999999999996</v>
      </c>
      <c r="C70">
        <v>-1.2760000000000001E-2</v>
      </c>
      <c r="E70">
        <v>0.86600999999999995</v>
      </c>
      <c r="F70">
        <v>-1.478E-2</v>
      </c>
      <c r="H70" s="46">
        <v>0.83886000000000005</v>
      </c>
      <c r="I70" s="46">
        <v>-2.521E-2</v>
      </c>
    </row>
    <row r="71" spans="1:9">
      <c r="A71" s="6">
        <v>29</v>
      </c>
      <c r="B71" s="46">
        <v>0.95518999999999998</v>
      </c>
      <c r="C71">
        <v>-4.2500000000000003E-3</v>
      </c>
      <c r="E71">
        <v>0.95123000000000002</v>
      </c>
      <c r="F71">
        <v>-5.2100000000000002E-3</v>
      </c>
      <c r="H71" s="46">
        <v>0.94728999999999997</v>
      </c>
      <c r="I71" s="46">
        <v>-8.4600000000000005E-3</v>
      </c>
    </row>
    <row r="72" spans="1:9">
      <c r="A72" s="6">
        <v>30</v>
      </c>
      <c r="B72" s="46">
        <v>1</v>
      </c>
      <c r="C72">
        <v>0</v>
      </c>
      <c r="E72">
        <v>1</v>
      </c>
      <c r="F72">
        <v>1.3999999999999999E-4</v>
      </c>
      <c r="H72" s="46">
        <v>1</v>
      </c>
      <c r="I72" s="46">
        <v>0</v>
      </c>
    </row>
  </sheetData>
  <mergeCells count="10">
    <mergeCell ref="A6:Q6"/>
    <mergeCell ref="A40:Q40"/>
    <mergeCell ref="H41:I41"/>
    <mergeCell ref="E41:F41"/>
    <mergeCell ref="B7:C7"/>
    <mergeCell ref="E7:F7"/>
    <mergeCell ref="H7:I7"/>
    <mergeCell ref="K7:L7"/>
    <mergeCell ref="B41:C41"/>
    <mergeCell ref="N7:P7"/>
  </mergeCells>
  <pageMargins left="0.7" right="0.7" top="0.75" bottom="0.75" header="0.3" footer="0.3"/>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5:AM55"/>
  <sheetViews>
    <sheetView topLeftCell="AD4" zoomScale="125" zoomScaleNormal="125" zoomScalePageLayoutView="125" workbookViewId="0">
      <selection activeCell="B11" sqref="B11"/>
    </sheetView>
  </sheetViews>
  <sheetFormatPr baseColWidth="10" defaultColWidth="8.83203125" defaultRowHeight="14" x14ac:dyDescent="0"/>
  <cols>
    <col min="1" max="1" width="30.5" customWidth="1"/>
    <col min="6" max="6" width="20.83203125" customWidth="1"/>
    <col min="29" max="29" width="15.33203125" customWidth="1"/>
  </cols>
  <sheetData>
    <row r="5" spans="1:28" ht="15" thickBot="1"/>
    <row r="6" spans="1:28" ht="15" thickBot="1">
      <c r="A6" s="63" t="s">
        <v>75</v>
      </c>
    </row>
    <row r="7" spans="1:28">
      <c r="A7" s="44" t="s">
        <v>41</v>
      </c>
      <c r="B7" s="51">
        <v>0.72</v>
      </c>
      <c r="F7" s="70" t="s">
        <v>130</v>
      </c>
      <c r="G7" s="71"/>
      <c r="H7" s="71"/>
      <c r="I7" s="71"/>
      <c r="J7" s="71"/>
      <c r="K7" s="71"/>
      <c r="L7" s="71"/>
      <c r="M7" s="71"/>
      <c r="N7" s="71"/>
      <c r="O7" s="71"/>
      <c r="P7" s="71"/>
      <c r="Q7" s="71"/>
      <c r="R7" s="71"/>
      <c r="S7" s="71"/>
      <c r="T7" s="38"/>
      <c r="U7" s="38"/>
      <c r="V7" s="38"/>
    </row>
    <row r="8" spans="1:28">
      <c r="A8" s="10" t="s">
        <v>73</v>
      </c>
      <c r="B8" s="52">
        <v>5.24</v>
      </c>
      <c r="F8" s="71"/>
      <c r="G8" s="71"/>
      <c r="H8" s="71"/>
      <c r="I8" s="71"/>
      <c r="J8" s="71"/>
      <c r="K8" s="71"/>
      <c r="L8" s="71"/>
      <c r="M8" s="71"/>
      <c r="N8" s="71"/>
      <c r="O8" s="71"/>
      <c r="P8" s="71"/>
      <c r="Q8" s="71"/>
      <c r="R8" s="71"/>
      <c r="S8" s="71"/>
      <c r="T8" s="38"/>
      <c r="U8" s="38"/>
      <c r="V8" s="38"/>
    </row>
    <row r="9" spans="1:28">
      <c r="A9" s="10" t="s">
        <v>11</v>
      </c>
      <c r="B9" s="52">
        <v>0.33</v>
      </c>
      <c r="F9" s="39" t="s">
        <v>0</v>
      </c>
      <c r="G9" s="39">
        <v>0</v>
      </c>
      <c r="H9" s="39">
        <f>B11/2</f>
        <v>0.97118484337431876</v>
      </c>
      <c r="I9" s="39">
        <v>0</v>
      </c>
      <c r="J9" s="39">
        <f>-H9</f>
        <v>-0.97118484337431876</v>
      </c>
      <c r="K9" s="38"/>
      <c r="L9" s="39" t="s">
        <v>13</v>
      </c>
      <c r="M9" s="40">
        <f>B35/100</f>
        <v>0.4</v>
      </c>
      <c r="N9" s="39"/>
      <c r="O9" s="39"/>
      <c r="P9" s="39"/>
      <c r="Q9" s="38"/>
      <c r="R9" s="38" t="s">
        <v>14</v>
      </c>
      <c r="S9" s="38"/>
      <c r="T9" s="38"/>
      <c r="U9" s="38"/>
      <c r="V9" s="38"/>
      <c r="W9" t="s">
        <v>177</v>
      </c>
    </row>
    <row r="10" spans="1:28">
      <c r="A10" s="10" t="s">
        <v>42</v>
      </c>
      <c r="B10" s="52">
        <v>32</v>
      </c>
      <c r="F10" s="39" t="s">
        <v>2</v>
      </c>
      <c r="G10" s="39">
        <v>0</v>
      </c>
      <c r="H10" s="39">
        <f>-B16</f>
        <v>-0.60648136249206819</v>
      </c>
      <c r="I10" s="39">
        <f>G10</f>
        <v>0</v>
      </c>
      <c r="J10" s="39">
        <f>H10</f>
        <v>-0.60648136249206819</v>
      </c>
      <c r="K10" s="38"/>
      <c r="L10" s="39" t="s">
        <v>7</v>
      </c>
      <c r="M10" s="39">
        <f>H9</f>
        <v>0.97118484337431876</v>
      </c>
      <c r="N10" s="39">
        <f>B11*0.5*M9</f>
        <v>0.38847393734972752</v>
      </c>
      <c r="O10" s="39">
        <f>-M10</f>
        <v>-0.97118484337431876</v>
      </c>
      <c r="P10" s="39">
        <f>-N10</f>
        <v>-0.38847393734972752</v>
      </c>
      <c r="Q10" s="38"/>
      <c r="R10" s="38" t="s">
        <v>15</v>
      </c>
      <c r="S10" s="38">
        <f>B33</f>
        <v>25.5</v>
      </c>
      <c r="T10" s="38"/>
      <c r="U10" s="38"/>
      <c r="V10" s="38"/>
      <c r="W10" t="s">
        <v>6</v>
      </c>
      <c r="X10">
        <f>G18</f>
        <v>0.97118484337431876</v>
      </c>
      <c r="Y10">
        <f ca="1">(-AB11+X11)*0.2+X10</f>
        <v>1.0865851071761283</v>
      </c>
      <c r="Z10">
        <f ca="1">(-Z11+X11)*0.5+X10</f>
        <v>1.0999248326747482</v>
      </c>
      <c r="AA10">
        <f ca="1">(-Z11+X11)*0.4+X10</f>
        <v>1.0919209973755764</v>
      </c>
      <c r="AB10">
        <f>X10</f>
        <v>0.97118484337431876</v>
      </c>
    </row>
    <row r="11" spans="1:28">
      <c r="A11" s="10" t="s">
        <v>43</v>
      </c>
      <c r="B11" s="11">
        <f>SQRT(B7*B8)</f>
        <v>1.9423696867486375</v>
      </c>
      <c r="F11" s="38"/>
      <c r="G11" s="38"/>
      <c r="H11" s="38"/>
      <c r="I11" s="38"/>
      <c r="J11" s="38"/>
      <c r="K11" s="38"/>
      <c r="L11" s="39" t="s">
        <v>6</v>
      </c>
      <c r="M11" s="39">
        <f ca="1">H10-(100-S10)*(S55/100)</f>
        <v>-0.7612663116585171</v>
      </c>
      <c r="N11" s="39">
        <f ca="1">-B12-N10*(-H19-B12)/H18+O55*S11/100</f>
        <v>-0.62662451438553646</v>
      </c>
      <c r="O11" s="39">
        <f ca="1">M11</f>
        <v>-0.7612663116585171</v>
      </c>
      <c r="P11" s="39">
        <f ca="1">N11</f>
        <v>-0.62662451438553646</v>
      </c>
      <c r="Q11" s="38"/>
      <c r="R11" s="38" t="s">
        <v>16</v>
      </c>
      <c r="S11" s="38">
        <f>B34</f>
        <v>19</v>
      </c>
      <c r="T11" s="38"/>
      <c r="U11" s="38"/>
      <c r="V11" s="38"/>
      <c r="W11" t="s">
        <v>7</v>
      </c>
      <c r="X11">
        <f>G19</f>
        <v>-0.60648136249206819</v>
      </c>
      <c r="Y11">
        <f ca="1">-0.4*(-Z11+X11)+X11</f>
        <v>-0.69390069789048636</v>
      </c>
      <c r="Z11">
        <f ca="1">-0.6*(-AB11+X11)+X11</f>
        <v>-0.74192370968551813</v>
      </c>
      <c r="AA11">
        <f ca="1">-0.9*(-AB11+X11)+X11</f>
        <v>-0.78194288618137786</v>
      </c>
      <c r="AB11">
        <f ca="1">J19</f>
        <v>-0.79528261167999781</v>
      </c>
    </row>
    <row r="12" spans="1:28">
      <c r="A12" s="10" t="s">
        <v>155</v>
      </c>
      <c r="B12" s="11">
        <f ca="1">2*(B7-B55)/((1+B9)*B11)</f>
        <v>0.60635115902817871</v>
      </c>
      <c r="F12" s="38" t="s">
        <v>4</v>
      </c>
      <c r="G12" s="38"/>
      <c r="H12" s="38"/>
      <c r="I12" s="38"/>
      <c r="J12" s="38"/>
      <c r="K12" s="38"/>
      <c r="L12" s="38"/>
      <c r="M12" s="38"/>
      <c r="N12" s="38"/>
      <c r="O12" s="38"/>
      <c r="P12" s="38"/>
      <c r="Q12" s="38"/>
      <c r="R12" s="38"/>
      <c r="S12" s="38"/>
      <c r="T12" s="38"/>
      <c r="U12" s="38"/>
      <c r="V12" s="38"/>
      <c r="W12" t="s">
        <v>6</v>
      </c>
      <c r="X12">
        <f>-X10</f>
        <v>-0.97118484337431876</v>
      </c>
      <c r="Y12">
        <f t="shared" ref="Y12:AB12" ca="1" si="0">-Y10</f>
        <v>-1.0865851071761283</v>
      </c>
      <c r="Z12">
        <f t="shared" ca="1" si="0"/>
        <v>-1.0999248326747482</v>
      </c>
      <c r="AA12">
        <f t="shared" ca="1" si="0"/>
        <v>-1.0919209973755764</v>
      </c>
      <c r="AB12">
        <f t="shared" si="0"/>
        <v>-0.97118484337431876</v>
      </c>
    </row>
    <row r="13" spans="1:28">
      <c r="A13" s="10" t="s">
        <v>153</v>
      </c>
      <c r="B13" s="11">
        <f ca="1">G55</f>
        <v>0.78825650673663228</v>
      </c>
      <c r="F13" s="38" t="s">
        <v>0</v>
      </c>
      <c r="G13" s="38">
        <v>0</v>
      </c>
      <c r="H13" s="38">
        <v>0</v>
      </c>
      <c r="I13" s="38"/>
      <c r="J13" s="38"/>
      <c r="K13" s="38"/>
      <c r="L13" s="39" t="s">
        <v>18</v>
      </c>
      <c r="M13" s="39"/>
      <c r="N13" s="39"/>
      <c r="O13" s="38"/>
      <c r="P13" s="39"/>
      <c r="Q13" s="38"/>
      <c r="R13" s="39" t="s">
        <v>32</v>
      </c>
      <c r="S13" s="39"/>
      <c r="T13" s="39"/>
      <c r="U13" s="38"/>
      <c r="V13" s="38"/>
    </row>
    <row r="14" spans="1:28">
      <c r="A14" s="10" t="s">
        <v>44</v>
      </c>
      <c r="B14" s="11">
        <f ca="1">B12*B9</f>
        <v>0.13339725498619931</v>
      </c>
      <c r="F14" s="38" t="s">
        <v>1</v>
      </c>
      <c r="G14" s="38">
        <v>0</v>
      </c>
      <c r="H14" s="38">
        <f ca="1">-B12</f>
        <v>-0.60635115902817871</v>
      </c>
      <c r="I14" s="38"/>
      <c r="J14" s="38"/>
      <c r="K14" s="38"/>
      <c r="L14" s="39" t="s">
        <v>0</v>
      </c>
      <c r="M14" s="39">
        <v>0</v>
      </c>
      <c r="N14" s="39">
        <f>H18</f>
        <v>0.97118484337431876</v>
      </c>
      <c r="O14" s="39"/>
      <c r="P14" s="39"/>
      <c r="Q14" s="38"/>
      <c r="R14" s="39" t="s">
        <v>28</v>
      </c>
      <c r="S14" s="39">
        <f>T14</f>
        <v>-1.1000000000000001</v>
      </c>
      <c r="T14" s="39">
        <f>-B42</f>
        <v>-1.1000000000000001</v>
      </c>
      <c r="U14" s="38"/>
      <c r="V14" s="38"/>
    </row>
    <row r="15" spans="1:28">
      <c r="A15" s="10" t="s">
        <v>45</v>
      </c>
      <c r="B15" s="11">
        <f ca="1">180*ATAN((-G19+0.25*B14-0.25*B12)/G18)/3.14</f>
        <v>27.167970852560412</v>
      </c>
      <c r="F15" s="38"/>
      <c r="G15" s="38"/>
      <c r="H15" s="38"/>
      <c r="I15" s="38"/>
      <c r="J15" s="38"/>
      <c r="K15" s="38"/>
      <c r="L15" s="39" t="s">
        <v>1</v>
      </c>
      <c r="M15" s="39">
        <f ca="1">H14*0.25</f>
        <v>-0.15158778975704468</v>
      </c>
      <c r="N15" s="39">
        <f ca="1">G19-0.25*B14</f>
        <v>-0.69523467044034837</v>
      </c>
      <c r="O15" s="39"/>
      <c r="P15" s="39"/>
      <c r="Q15" s="38"/>
      <c r="R15" s="39" t="s">
        <v>29</v>
      </c>
      <c r="S15" s="39">
        <f>0.5*B41</f>
        <v>0.35</v>
      </c>
      <c r="T15" s="39">
        <f>-S15</f>
        <v>-0.35</v>
      </c>
      <c r="U15" s="38"/>
      <c r="V15" s="38"/>
    </row>
    <row r="16" spans="1:28" ht="15" thickBot="1">
      <c r="A16" s="12" t="s">
        <v>46</v>
      </c>
      <c r="B16" s="13">
        <f>0.5*B11*TAN(B10*3.14/180)</f>
        <v>0.60648136249206819</v>
      </c>
      <c r="F16" s="38"/>
      <c r="G16" s="38"/>
      <c r="H16" s="38"/>
      <c r="I16" s="38"/>
      <c r="J16" s="38"/>
      <c r="K16" s="38"/>
      <c r="L16" s="39"/>
      <c r="M16" s="39"/>
      <c r="N16" s="39"/>
      <c r="O16" s="39"/>
      <c r="P16" s="39"/>
      <c r="Q16" s="38"/>
      <c r="R16" s="39"/>
      <c r="S16" s="39"/>
      <c r="T16" s="39"/>
      <c r="U16" s="38"/>
      <c r="V16" s="38"/>
    </row>
    <row r="17" spans="1:36" ht="15" thickBot="1">
      <c r="F17" s="39" t="s">
        <v>17</v>
      </c>
      <c r="G17" s="39"/>
      <c r="H17" s="39"/>
      <c r="I17" s="39"/>
      <c r="J17" s="39"/>
      <c r="K17" s="38"/>
      <c r="L17" s="38"/>
      <c r="M17" s="38"/>
      <c r="N17" s="38"/>
      <c r="O17" s="38"/>
      <c r="P17" s="38"/>
      <c r="Q17" s="38"/>
      <c r="R17" s="38"/>
      <c r="S17" s="38"/>
      <c r="T17" s="38"/>
      <c r="U17" s="38"/>
      <c r="V17" s="38"/>
    </row>
    <row r="18" spans="1:36" ht="15" thickBot="1">
      <c r="A18" s="64" t="s">
        <v>76</v>
      </c>
      <c r="F18" s="39" t="s">
        <v>0</v>
      </c>
      <c r="G18" s="39">
        <f>B11/2</f>
        <v>0.97118484337431876</v>
      </c>
      <c r="H18" s="39">
        <f>B11/2</f>
        <v>0.97118484337431876</v>
      </c>
      <c r="I18" s="39">
        <f>-G18</f>
        <v>-0.97118484337431876</v>
      </c>
      <c r="J18" s="39">
        <f>-H18</f>
        <v>-0.97118484337431876</v>
      </c>
      <c r="K18" s="38"/>
      <c r="L18" s="39" t="s">
        <v>21</v>
      </c>
      <c r="M18" s="39">
        <f>B45</f>
        <v>25</v>
      </c>
      <c r="N18" s="39">
        <f>B46</f>
        <v>20</v>
      </c>
      <c r="O18" s="38"/>
      <c r="P18" s="38"/>
      <c r="Q18" s="38"/>
      <c r="R18" s="39" t="s">
        <v>35</v>
      </c>
      <c r="S18" s="39"/>
      <c r="T18" s="39"/>
      <c r="U18" s="38"/>
      <c r="V18" s="38"/>
      <c r="AJ18" t="s">
        <v>179</v>
      </c>
    </row>
    <row r="19" spans="1:36" ht="15" thickBot="1">
      <c r="A19" s="44" t="s">
        <v>47</v>
      </c>
      <c r="B19" s="18">
        <f ca="1">-((H14+G27*(H19-H14)/H18)-G28)</f>
        <v>0.42027093448707209</v>
      </c>
      <c r="F19" s="39" t="s">
        <v>1</v>
      </c>
      <c r="G19" s="39">
        <f>-B16</f>
        <v>-0.60648136249206819</v>
      </c>
      <c r="H19" s="39">
        <f ca="1">G19-B14</f>
        <v>-0.79528261167999781</v>
      </c>
      <c r="I19" s="39">
        <f>G19</f>
        <v>-0.60648136249206819</v>
      </c>
      <c r="J19" s="39">
        <f ca="1">H19</f>
        <v>-0.79528261167999781</v>
      </c>
      <c r="K19" s="38"/>
      <c r="L19" s="39" t="s">
        <v>0</v>
      </c>
      <c r="M19" s="39">
        <v>0</v>
      </c>
      <c r="N19" s="39">
        <f>-H18</f>
        <v>-0.97118484337431876</v>
      </c>
      <c r="O19" s="38"/>
      <c r="P19" s="38"/>
      <c r="Q19" s="38"/>
      <c r="R19" s="39" t="s">
        <v>28</v>
      </c>
      <c r="S19" s="41">
        <f ca="1">G36</f>
        <v>-0.33835868308265549</v>
      </c>
      <c r="T19" s="41">
        <f ca="1">H36</f>
        <v>-0.33835868308265549</v>
      </c>
      <c r="U19" s="38"/>
      <c r="V19" s="38"/>
    </row>
    <row r="20" spans="1:36">
      <c r="A20" s="10" t="s">
        <v>70</v>
      </c>
      <c r="B20" s="11">
        <f ca="1">((-G33-B12/4)/TAN(3.14*B15/180))/(B11/2)</f>
        <v>0.39344262295081961</v>
      </c>
      <c r="F20" s="38"/>
      <c r="G20" s="38"/>
      <c r="H20" s="38"/>
      <c r="I20" s="38"/>
      <c r="J20" s="38"/>
      <c r="K20" s="38"/>
      <c r="L20" s="39" t="s">
        <v>2</v>
      </c>
      <c r="M20" s="39">
        <f ca="1">-B12*M18/100</f>
        <v>-0.15158778975704468</v>
      </c>
      <c r="N20" s="39">
        <f ca="1">-(B14*N18/100)+G19</f>
        <v>-0.68856480769103845</v>
      </c>
      <c r="O20" s="38"/>
      <c r="P20" s="38"/>
      <c r="Q20" s="38"/>
      <c r="R20" s="39" t="s">
        <v>29</v>
      </c>
      <c r="S20" s="39">
        <v>0.2</v>
      </c>
      <c r="T20" s="39">
        <v>-0.2</v>
      </c>
      <c r="U20" s="38"/>
      <c r="V20" s="38"/>
    </row>
    <row r="21" spans="1:36">
      <c r="A21" s="10" t="s">
        <v>50</v>
      </c>
      <c r="B21" s="11">
        <f ca="1">0.125*(4*B16+B14-B12)</f>
        <v>0.27182344034165185</v>
      </c>
      <c r="F21" s="39" t="s">
        <v>140</v>
      </c>
      <c r="G21" s="38"/>
      <c r="H21" s="38"/>
      <c r="I21" s="38"/>
      <c r="J21" s="38"/>
      <c r="K21" s="38"/>
      <c r="L21" s="38"/>
      <c r="M21" s="38"/>
      <c r="N21" s="38"/>
      <c r="O21" s="38"/>
      <c r="P21" s="38"/>
      <c r="Q21" s="38"/>
      <c r="R21" s="38"/>
      <c r="S21" s="38"/>
      <c r="T21" s="38"/>
      <c r="U21" s="38"/>
      <c r="V21" s="38"/>
    </row>
    <row r="22" spans="1:36">
      <c r="A22" s="10" t="s">
        <v>180</v>
      </c>
      <c r="B22" s="11">
        <f ca="1">0.25+(TAN(((B15)^(1.05+B9*0.14))*3.14/180)*B8*0.018*(1-B9)^2)-(TAN(((B15)^0.6)*3.14/180)*B9*0.366667)</f>
        <v>0.28248036816642674</v>
      </c>
      <c r="F22" s="39" t="s">
        <v>0</v>
      </c>
      <c r="G22" s="39">
        <f>J52</f>
        <v>0.24279621084357969</v>
      </c>
      <c r="H22" s="39">
        <f>H18</f>
        <v>0.97118484337431876</v>
      </c>
      <c r="I22" s="39">
        <f>-G22</f>
        <v>-0.24279621084357969</v>
      </c>
      <c r="J22" s="39">
        <f>-H22</f>
        <v>-0.97118484337431876</v>
      </c>
      <c r="K22" s="38"/>
      <c r="L22" s="39" t="s">
        <v>25</v>
      </c>
      <c r="M22" s="39">
        <f>B47</f>
        <v>90</v>
      </c>
      <c r="N22" s="39" t="s">
        <v>12</v>
      </c>
      <c r="O22" s="38"/>
      <c r="P22" s="38"/>
      <c r="Q22" s="38"/>
      <c r="R22" s="38" t="s">
        <v>37</v>
      </c>
      <c r="S22" s="38"/>
      <c r="T22" s="38"/>
      <c r="U22" s="38"/>
      <c r="V22" s="38"/>
    </row>
    <row r="23" spans="1:36">
      <c r="A23" s="10" t="s">
        <v>48</v>
      </c>
      <c r="B23" s="11">
        <f ca="1">0.25*B12+8*B21/(3*3.14)</f>
        <v>0.38243572210664284</v>
      </c>
      <c r="C23" s="6"/>
      <c r="F23" s="39" t="s">
        <v>1</v>
      </c>
      <c r="G23" s="39">
        <f ca="1">V29</f>
        <v>-0.65358402219113354</v>
      </c>
      <c r="H23" s="39">
        <f ca="1">H19</f>
        <v>-0.79528261167999781</v>
      </c>
      <c r="I23" s="39">
        <f ca="1">G23</f>
        <v>-0.65358402219113354</v>
      </c>
      <c r="J23" s="39">
        <f ca="1">H23</f>
        <v>-0.79528261167999781</v>
      </c>
      <c r="K23" s="38"/>
      <c r="L23" s="39"/>
      <c r="M23" s="39">
        <v>0</v>
      </c>
      <c r="N23" s="39">
        <f>U23</f>
        <v>-0.38847393734972752</v>
      </c>
      <c r="O23" s="38"/>
      <c r="P23" s="38"/>
      <c r="Q23" s="38"/>
      <c r="R23" s="38" t="s">
        <v>7</v>
      </c>
      <c r="S23" s="38">
        <f>N10</f>
        <v>0.38847393734972752</v>
      </c>
      <c r="T23" s="38">
        <f>S23</f>
        <v>0.38847393734972752</v>
      </c>
      <c r="U23" s="38">
        <f>-S23</f>
        <v>-0.38847393734972752</v>
      </c>
      <c r="V23" s="38">
        <f>-T23</f>
        <v>-0.38847393734972752</v>
      </c>
    </row>
    <row r="24" spans="1:36" ht="15" thickBot="1">
      <c r="A24" s="45" t="s">
        <v>49</v>
      </c>
      <c r="B24" s="11">
        <f ca="1">0.25*B12+2*B21*(1+2*B9)/(1+B9)/3</f>
        <v>0.36548164445211495</v>
      </c>
      <c r="F24" s="38"/>
      <c r="G24" s="38"/>
      <c r="H24" s="38"/>
      <c r="I24" s="38"/>
      <c r="J24" s="38"/>
      <c r="K24" s="38"/>
      <c r="L24" s="39"/>
      <c r="M24" s="39">
        <f ca="1">-B12*M22/100</f>
        <v>-0.54571604312536082</v>
      </c>
      <c r="N24" s="39">
        <f ca="1">P11</f>
        <v>-0.62662451438553646</v>
      </c>
      <c r="O24" s="38"/>
      <c r="P24" s="38"/>
      <c r="Q24" s="38"/>
      <c r="R24" s="38" t="s">
        <v>6</v>
      </c>
      <c r="S24" s="38">
        <f>-S23*TAN(B10*3.14/180)</f>
        <v>-0.24259254499682728</v>
      </c>
      <c r="T24" s="38">
        <f ca="1">-T23*(S50+S49-B12)*2/B11-B12</f>
        <v>-0.68192374008890633</v>
      </c>
      <c r="U24" s="38">
        <f>S24</f>
        <v>-0.24259254499682728</v>
      </c>
      <c r="V24" s="38">
        <f ca="1">T24</f>
        <v>-0.68192374008890633</v>
      </c>
    </row>
    <row r="25" spans="1:36" ht="15" thickBot="1">
      <c r="A25" s="45" t="s">
        <v>53</v>
      </c>
      <c r="B25" s="18">
        <f ca="1">(B22-0.25)*B19+B24</f>
        <v>0.37913219913390328</v>
      </c>
      <c r="F25" s="38"/>
      <c r="G25" s="38"/>
      <c r="H25" s="38"/>
      <c r="I25" s="38"/>
      <c r="J25" s="38"/>
      <c r="K25" s="38"/>
      <c r="L25" s="38"/>
      <c r="M25" s="38"/>
      <c r="N25" s="38"/>
      <c r="O25" s="38"/>
      <c r="P25" s="38"/>
      <c r="Q25" s="38"/>
      <c r="R25" s="38"/>
      <c r="S25" s="38"/>
      <c r="T25" s="38"/>
      <c r="U25" s="38"/>
      <c r="V25" s="38"/>
    </row>
    <row r="26" spans="1:36">
      <c r="A26" s="10" t="s">
        <v>38</v>
      </c>
      <c r="B26" s="11">
        <f ca="1">(B23-B30)*100/B21</f>
        <v>16.215319388418973</v>
      </c>
      <c r="F26" s="38" t="s">
        <v>19</v>
      </c>
      <c r="G26" s="38"/>
      <c r="H26" s="38"/>
      <c r="I26" s="38"/>
      <c r="J26" s="38"/>
      <c r="K26" s="38"/>
      <c r="L26" s="38"/>
      <c r="M26" s="38"/>
      <c r="N26" s="38"/>
      <c r="O26" s="38"/>
      <c r="P26" s="38"/>
      <c r="Q26" s="38"/>
      <c r="R26" s="38"/>
      <c r="S26" s="38"/>
      <c r="T26" s="38"/>
      <c r="U26" s="38"/>
      <c r="V26" s="38"/>
    </row>
    <row r="27" spans="1:36" ht="15" thickBot="1">
      <c r="A27" s="10" t="s">
        <v>39</v>
      </c>
      <c r="B27" s="11">
        <f ca="1">(B24-B30)*100/B21</f>
        <v>9.978153957351477</v>
      </c>
      <c r="F27" s="38" t="s">
        <v>0</v>
      </c>
      <c r="G27" s="38">
        <f ca="1">0.5*B11*B20</f>
        <v>0.41701206144743147</v>
      </c>
      <c r="H27" s="38">
        <f ca="1">G27</f>
        <v>0.41701206144743147</v>
      </c>
      <c r="I27" s="40" t="s">
        <v>141</v>
      </c>
      <c r="J27" s="38"/>
      <c r="K27" s="38">
        <f>E20</f>
        <v>0</v>
      </c>
      <c r="L27" s="39" t="s">
        <v>27</v>
      </c>
      <c r="M27" s="39"/>
      <c r="N27" s="39"/>
      <c r="O27" s="39"/>
      <c r="P27" s="39"/>
      <c r="Q27" s="38"/>
      <c r="R27" s="39" t="s">
        <v>137</v>
      </c>
      <c r="S27" s="38">
        <v>0</v>
      </c>
      <c r="T27" s="38">
        <f>-T28</f>
        <v>-8.093207028119323E-2</v>
      </c>
      <c r="U27" s="38">
        <f>-U28</f>
        <v>-0.16186414056238646</v>
      </c>
      <c r="V27">
        <f>-V28</f>
        <v>-0.24279621084357969</v>
      </c>
      <c r="W27" s="39" t="s">
        <v>138</v>
      </c>
    </row>
    <row r="28" spans="1:36" ht="15" thickBot="1">
      <c r="A28" s="10" t="s">
        <v>72</v>
      </c>
      <c r="B28" s="62">
        <f>'Twist and Trim'!B17</f>
        <v>15</v>
      </c>
      <c r="F28" s="38" t="s">
        <v>1</v>
      </c>
      <c r="G28" s="38">
        <f ca="1">-G27*TAN(B10*3.14/180)</f>
        <v>-0.26041391083034693</v>
      </c>
      <c r="H28" s="38">
        <f ca="1">G28-B19</f>
        <v>-0.68068484531741902</v>
      </c>
      <c r="I28" s="38"/>
      <c r="J28" s="38"/>
      <c r="K28" s="38"/>
      <c r="L28" s="39" t="s">
        <v>6</v>
      </c>
      <c r="M28" s="39">
        <v>0</v>
      </c>
      <c r="N28" s="39">
        <f>0.5*B11</f>
        <v>0.97118484337431876</v>
      </c>
      <c r="O28" s="39">
        <v>0</v>
      </c>
      <c r="P28" s="39">
        <f>N28</f>
        <v>0.97118484337431876</v>
      </c>
      <c r="Q28" s="38"/>
      <c r="R28" s="38" t="s">
        <v>6</v>
      </c>
      <c r="S28" s="38">
        <v>0</v>
      </c>
      <c r="T28" s="38">
        <f>H52</f>
        <v>8.093207028119323E-2</v>
      </c>
      <c r="U28" s="38">
        <f>I52</f>
        <v>0.16186414056238646</v>
      </c>
      <c r="V28">
        <f>J52</f>
        <v>0.24279621084357969</v>
      </c>
      <c r="W28" s="38">
        <f ca="1">(G46+H46)*T28+(H46+I46)*(U28-T28)+I46*(V28-U28)</f>
        <v>3.5936471836798552E-2</v>
      </c>
    </row>
    <row r="29" spans="1:36" ht="15" thickBot="1">
      <c r="A29" s="10" t="s">
        <v>71</v>
      </c>
      <c r="B29" s="17">
        <f ca="1">-(-G36+G32)*100/B19</f>
        <v>9.7017216051380348</v>
      </c>
      <c r="F29" s="38" t="s">
        <v>20</v>
      </c>
      <c r="G29" s="38">
        <f ca="1">B21</f>
        <v>0.27182344034165185</v>
      </c>
      <c r="H29" s="38"/>
      <c r="I29" s="38"/>
      <c r="J29" s="38"/>
      <c r="K29" s="38"/>
      <c r="L29" s="39" t="s">
        <v>7</v>
      </c>
      <c r="M29" s="39">
        <f ca="1">-B12-B14</f>
        <v>-0.73974841401437796</v>
      </c>
      <c r="N29" s="39">
        <f ca="1">-B16+B12</f>
        <v>-5.5534197665619844E-2</v>
      </c>
      <c r="O29" s="39">
        <f ca="1">B14</f>
        <v>0.13339725498619931</v>
      </c>
      <c r="P29" s="39">
        <f ca="1">H19-B12</f>
        <v>-1.4016337707081765</v>
      </c>
      <c r="Q29" s="38"/>
      <c r="R29" s="38" t="s">
        <v>7</v>
      </c>
      <c r="S29" s="38">
        <f ca="1">-(B12+G46)</f>
        <v>-0.78825650673663228</v>
      </c>
      <c r="T29" s="38">
        <f ca="1">-(G48+T28*((G50+G49-G48)/(G47*0.5)))-H46</f>
        <v>-0.70681037017430748</v>
      </c>
      <c r="U29" s="38">
        <f ca="1">-(G48+U28*((G50+G49-G48)/(G47*0.5)))-I46</f>
        <v>-0.66560423490985987</v>
      </c>
      <c r="V29" s="38">
        <f ca="1">J54</f>
        <v>-0.65358402219113354</v>
      </c>
    </row>
    <row r="30" spans="1:36" ht="15" thickBot="1">
      <c r="A30" s="12" t="s">
        <v>51</v>
      </c>
      <c r="B30" s="17">
        <f ca="1">(B25-B28*B21/100)</f>
        <v>0.33835868308265549</v>
      </c>
      <c r="F30" s="38" t="s">
        <v>22</v>
      </c>
      <c r="G30" s="38"/>
      <c r="H30" s="38"/>
      <c r="I30" s="38"/>
      <c r="J30" s="38"/>
      <c r="K30" s="38"/>
      <c r="L30" s="39"/>
      <c r="M30" s="39"/>
      <c r="N30" s="39"/>
      <c r="O30" s="39"/>
      <c r="P30" s="39"/>
      <c r="Q30" s="38"/>
      <c r="R30" s="38"/>
      <c r="S30" s="38"/>
      <c r="T30" s="38"/>
      <c r="U30" s="38"/>
      <c r="V30" s="38"/>
    </row>
    <row r="31" spans="1:36" ht="15" thickBot="1">
      <c r="F31" s="38" t="s">
        <v>0</v>
      </c>
      <c r="G31" s="38">
        <f ca="1">G27</f>
        <v>0.41701206144743147</v>
      </c>
      <c r="H31" s="38">
        <v>0</v>
      </c>
      <c r="I31" s="38"/>
      <c r="J31" s="38"/>
      <c r="K31" s="38"/>
      <c r="L31" s="39" t="s">
        <v>30</v>
      </c>
      <c r="M31" s="39"/>
      <c r="N31" s="39"/>
      <c r="O31" s="39"/>
      <c r="P31" s="39"/>
      <c r="Q31" s="38"/>
      <c r="R31" s="38" t="s">
        <v>154</v>
      </c>
      <c r="S31" s="38">
        <v>0</v>
      </c>
      <c r="T31" s="38">
        <f>-T32</f>
        <v>-0.24279621084357969</v>
      </c>
      <c r="U31" s="38"/>
      <c r="V31" s="38" t="s">
        <v>176</v>
      </c>
    </row>
    <row r="32" spans="1:36" ht="15" thickBot="1">
      <c r="A32" s="63" t="s">
        <v>40</v>
      </c>
      <c r="F32" s="38" t="s">
        <v>1</v>
      </c>
      <c r="G32" s="38">
        <f ca="1">-B25</f>
        <v>-0.37913219913390328</v>
      </c>
      <c r="H32" s="38">
        <f ca="1">G32</f>
        <v>-0.37913219913390328</v>
      </c>
      <c r="I32" s="38"/>
      <c r="J32" s="38"/>
      <c r="K32" s="38"/>
      <c r="L32" s="39" t="s">
        <v>31</v>
      </c>
      <c r="M32" s="39">
        <f ca="1">O55</f>
        <v>0.29104855633352572</v>
      </c>
      <c r="N32" s="39" t="s">
        <v>6</v>
      </c>
      <c r="O32" s="39">
        <f>G18</f>
        <v>0.97118484337431876</v>
      </c>
      <c r="P32" s="39">
        <f>O52</f>
        <v>0.64745656224954573</v>
      </c>
      <c r="Q32" s="38"/>
      <c r="R32" s="38" t="s">
        <v>6</v>
      </c>
      <c r="S32" s="38">
        <v>0</v>
      </c>
      <c r="T32" s="38">
        <f>V28</f>
        <v>0.24279621084357969</v>
      </c>
      <c r="U32" s="38"/>
      <c r="V32" s="38" t="s">
        <v>6</v>
      </c>
      <c r="W32">
        <f>G52</f>
        <v>0</v>
      </c>
      <c r="X32">
        <f t="shared" ref="X32:Z32" si="1">H52</f>
        <v>8.093207028119323E-2</v>
      </c>
      <c r="Y32">
        <f t="shared" si="1"/>
        <v>0.16186414056238646</v>
      </c>
      <c r="Z32">
        <f t="shared" si="1"/>
        <v>0.24279621084357969</v>
      </c>
    </row>
    <row r="33" spans="1:39">
      <c r="A33" s="44" t="s">
        <v>112</v>
      </c>
      <c r="B33" s="51">
        <v>25.5</v>
      </c>
      <c r="F33" s="38" t="s">
        <v>23</v>
      </c>
      <c r="G33" s="38">
        <f ca="1">-B24</f>
        <v>-0.36548164445211495</v>
      </c>
      <c r="H33" s="38" t="s">
        <v>24</v>
      </c>
      <c r="I33" s="38">
        <f ca="1">-B23</f>
        <v>-0.38243572210664284</v>
      </c>
      <c r="J33" s="38"/>
      <c r="K33" s="38"/>
      <c r="L33" s="39" t="s">
        <v>33</v>
      </c>
      <c r="M33" s="39">
        <f ca="1">B14</f>
        <v>0.13339725498619931</v>
      </c>
      <c r="N33" s="39" t="s">
        <v>7</v>
      </c>
      <c r="O33" s="39">
        <f ca="1">G19+M32</f>
        <v>-0.37083680036027283</v>
      </c>
      <c r="P33" s="39">
        <f ca="1">O54-M33</f>
        <v>-0.86570271578225744</v>
      </c>
      <c r="Q33" s="38"/>
      <c r="R33" s="38" t="s">
        <v>7</v>
      </c>
      <c r="S33" s="38">
        <f ca="1">-G48</f>
        <v>-0.60635115902817871</v>
      </c>
      <c r="T33" s="38">
        <f ca="1">G23</f>
        <v>-0.65358402219113354</v>
      </c>
      <c r="U33" s="38"/>
      <c r="V33" s="38" t="s">
        <v>7</v>
      </c>
      <c r="W33">
        <f ca="1">-(-G53+0.25*G55)</f>
        <v>-0.19706412668415807</v>
      </c>
      <c r="X33">
        <f t="shared" ref="X33:Z33" ca="1" si="2">-(-H53+0.25*H55)</f>
        <v>-0.21807042733693927</v>
      </c>
      <c r="Y33">
        <f t="shared" ca="1" si="2"/>
        <v>-0.24913672831418976</v>
      </c>
      <c r="Z33">
        <f t="shared" ca="1" si="2"/>
        <v>-0.2874995099278706</v>
      </c>
    </row>
    <row r="34" spans="1:39">
      <c r="A34" s="10" t="s">
        <v>111</v>
      </c>
      <c r="B34" s="52">
        <v>19</v>
      </c>
      <c r="F34" s="38" t="s">
        <v>26</v>
      </c>
      <c r="G34" s="38"/>
      <c r="H34" s="38"/>
      <c r="I34" s="38"/>
      <c r="J34" s="38"/>
      <c r="K34" s="38"/>
      <c r="L34" s="39" t="s">
        <v>34</v>
      </c>
      <c r="M34" s="39">
        <f>B16-O53</f>
        <v>1.0108022708201134</v>
      </c>
      <c r="N34" s="39" t="s">
        <v>6</v>
      </c>
      <c r="O34" s="39">
        <f>O32</f>
        <v>0.97118484337431876</v>
      </c>
      <c r="P34" s="39">
        <f>P32</f>
        <v>0.64745656224954573</v>
      </c>
      <c r="Q34" s="38"/>
      <c r="R34" s="38"/>
      <c r="S34" s="38">
        <v>0</v>
      </c>
      <c r="T34" s="38">
        <v>0</v>
      </c>
      <c r="U34" s="38"/>
      <c r="V34" s="38" t="s">
        <v>6</v>
      </c>
      <c r="W34">
        <f>-W32</f>
        <v>0</v>
      </c>
      <c r="X34">
        <f t="shared" ref="X34:Y34" si="3">-X32</f>
        <v>-8.093207028119323E-2</v>
      </c>
      <c r="Y34">
        <f t="shared" si="3"/>
        <v>-0.16186414056238646</v>
      </c>
      <c r="Z34">
        <f t="shared" ref="Z34" si="4">-Z32</f>
        <v>-0.24279621084357969</v>
      </c>
    </row>
    <row r="35" spans="1:39">
      <c r="A35" s="10" t="s">
        <v>54</v>
      </c>
      <c r="B35" s="52">
        <v>40</v>
      </c>
      <c r="F35" s="38" t="s">
        <v>0</v>
      </c>
      <c r="G35" s="38">
        <v>-0.2</v>
      </c>
      <c r="H35" s="38">
        <v>0.2</v>
      </c>
      <c r="I35" s="38"/>
      <c r="J35" s="38"/>
      <c r="K35" s="38"/>
      <c r="L35" s="39"/>
      <c r="M35" s="39"/>
      <c r="N35" s="39" t="s">
        <v>7</v>
      </c>
      <c r="O35" s="39">
        <f ca="1">H19-M32</f>
        <v>-1.0863311680135235</v>
      </c>
      <c r="P35" s="39">
        <f ca="1">O54+M32+M33</f>
        <v>-0.30785964947633304</v>
      </c>
      <c r="Q35" s="38"/>
      <c r="R35" s="38"/>
      <c r="S35" s="38">
        <f ca="1">S33</f>
        <v>-0.60635115902817871</v>
      </c>
      <c r="T35" s="38">
        <f ca="1">G54</f>
        <v>-0.78825650673663228</v>
      </c>
      <c r="U35" s="38"/>
      <c r="V35" s="38"/>
    </row>
    <row r="36" spans="1:39">
      <c r="A36" s="10" t="s">
        <v>142</v>
      </c>
      <c r="B36" s="11">
        <f ca="1">(S55*S10/100+O55*S11/100)*(S52-O52)*0.5</f>
        <v>1.5777671816726704E-2</v>
      </c>
      <c r="F36" s="38" t="s">
        <v>1</v>
      </c>
      <c r="G36" s="38">
        <f ca="1">-B30</f>
        <v>-0.33835868308265549</v>
      </c>
      <c r="H36" s="38">
        <f ca="1">G36</f>
        <v>-0.33835868308265549</v>
      </c>
      <c r="I36" s="38"/>
      <c r="J36" s="38"/>
      <c r="K36" s="38"/>
      <c r="L36" s="38"/>
      <c r="M36" s="38"/>
      <c r="N36" s="38"/>
      <c r="O36" s="38"/>
      <c r="P36" s="38"/>
      <c r="Q36" s="38"/>
      <c r="R36" s="38"/>
      <c r="S36" s="38"/>
      <c r="T36" s="38"/>
      <c r="U36" s="38"/>
      <c r="V36" s="38"/>
    </row>
    <row r="37" spans="1:39">
      <c r="A37" s="10" t="s">
        <v>52</v>
      </c>
      <c r="B37" s="11">
        <f ca="1">ATAN((-M11+N11)/(M10-N10))*180/3.14</f>
        <v>11.96018409945529</v>
      </c>
      <c r="F37" s="38"/>
      <c r="G37" s="38"/>
      <c r="H37" s="38"/>
      <c r="I37" s="38"/>
      <c r="J37" s="38"/>
      <c r="K37" s="38"/>
      <c r="L37" s="38"/>
      <c r="M37" s="38"/>
      <c r="N37" s="38"/>
      <c r="O37" s="38"/>
      <c r="P37" s="38"/>
      <c r="Q37" s="38"/>
      <c r="R37" s="38"/>
      <c r="S37" s="38"/>
      <c r="T37" s="38"/>
      <c r="U37" s="38"/>
      <c r="V37" s="38"/>
      <c r="X37" s="38"/>
      <c r="Y37" s="38"/>
      <c r="Z37" s="38"/>
      <c r="AA37" s="38"/>
      <c r="AB37" s="38"/>
      <c r="AC37" s="38"/>
      <c r="AD37" s="38"/>
      <c r="AE37" s="38"/>
      <c r="AF37" s="38"/>
      <c r="AG37" s="38"/>
      <c r="AH37" s="38"/>
      <c r="AI37" s="38"/>
      <c r="AJ37" s="38"/>
      <c r="AK37" s="38"/>
      <c r="AL37" s="38"/>
      <c r="AM37" s="38"/>
    </row>
    <row r="38" spans="1:39" ht="15" thickBot="1">
      <c r="A38" s="12" t="s">
        <v>69</v>
      </c>
      <c r="B38" s="13">
        <f ca="1">(S55+(-T24+S24))*(S52-S23)/2</f>
        <v>0.17506467628824263</v>
      </c>
      <c r="F38" t="s">
        <v>65</v>
      </c>
      <c r="G38">
        <f t="shared" ref="G38:S38" si="5">-G52</f>
        <v>0</v>
      </c>
      <c r="H38">
        <f t="shared" si="5"/>
        <v>-8.093207028119323E-2</v>
      </c>
      <c r="I38">
        <f t="shared" si="5"/>
        <v>-0.16186414056238646</v>
      </c>
      <c r="J38">
        <f t="shared" si="5"/>
        <v>-0.24279621084357969</v>
      </c>
      <c r="K38">
        <f t="shared" si="5"/>
        <v>-0.32372828112477292</v>
      </c>
      <c r="L38">
        <f t="shared" si="5"/>
        <v>-0.40466035140596612</v>
      </c>
      <c r="M38">
        <f t="shared" si="5"/>
        <v>-0.48559242168715933</v>
      </c>
      <c r="N38">
        <f t="shared" si="5"/>
        <v>-0.56652449196835253</v>
      </c>
      <c r="O38">
        <f t="shared" si="5"/>
        <v>-0.64745656224954573</v>
      </c>
      <c r="P38">
        <f t="shared" si="5"/>
        <v>-0.72838863253073893</v>
      </c>
      <c r="Q38">
        <f t="shared" si="5"/>
        <v>-0.80932070281193214</v>
      </c>
      <c r="R38">
        <f t="shared" si="5"/>
        <v>-0.89025277309312534</v>
      </c>
      <c r="S38">
        <f t="shared" si="5"/>
        <v>-0.97118484337431854</v>
      </c>
      <c r="T38" s="38"/>
      <c r="U38" s="38"/>
      <c r="V38" s="38"/>
      <c r="X38" s="38"/>
      <c r="Y38" s="38"/>
      <c r="Z38" s="38"/>
      <c r="AA38" s="38"/>
      <c r="AB38" s="38"/>
      <c r="AC38" s="38"/>
      <c r="AD38" s="38"/>
      <c r="AE38" s="38"/>
      <c r="AF38" s="38"/>
      <c r="AG38" s="38"/>
      <c r="AH38" s="38"/>
      <c r="AI38" s="38"/>
      <c r="AJ38" s="38"/>
      <c r="AK38" s="38"/>
      <c r="AL38" s="38"/>
      <c r="AM38" s="38"/>
    </row>
    <row r="39" spans="1:39" ht="15" thickBot="1">
      <c r="F39" t="s">
        <v>66</v>
      </c>
      <c r="G39">
        <f>G38</f>
        <v>0</v>
      </c>
      <c r="H39">
        <f>H38</f>
        <v>-8.093207028119323E-2</v>
      </c>
      <c r="I39">
        <f t="shared" ref="I39:S39" si="6">I38</f>
        <v>-0.16186414056238646</v>
      </c>
      <c r="J39">
        <f t="shared" si="6"/>
        <v>-0.24279621084357969</v>
      </c>
      <c r="K39">
        <f t="shared" si="6"/>
        <v>-0.32372828112477292</v>
      </c>
      <c r="L39">
        <f t="shared" si="6"/>
        <v>-0.40466035140596612</v>
      </c>
      <c r="M39">
        <f t="shared" si="6"/>
        <v>-0.48559242168715933</v>
      </c>
      <c r="N39">
        <f t="shared" si="6"/>
        <v>-0.56652449196835253</v>
      </c>
      <c r="O39">
        <f t="shared" si="6"/>
        <v>-0.64745656224954573</v>
      </c>
      <c r="P39">
        <f t="shared" si="6"/>
        <v>-0.72838863253073893</v>
      </c>
      <c r="Q39">
        <f t="shared" si="6"/>
        <v>-0.80932070281193214</v>
      </c>
      <c r="R39">
        <f t="shared" si="6"/>
        <v>-0.89025277309312534</v>
      </c>
      <c r="S39">
        <f t="shared" si="6"/>
        <v>-0.97118484337431854</v>
      </c>
    </row>
    <row r="40" spans="1:39" ht="15" thickBot="1">
      <c r="A40" s="63" t="s">
        <v>74</v>
      </c>
    </row>
    <row r="41" spans="1:39">
      <c r="A41" s="44" t="s">
        <v>55</v>
      </c>
      <c r="B41" s="51">
        <v>0.7</v>
      </c>
    </row>
    <row r="42" spans="1:39" ht="15" thickBot="1">
      <c r="A42" s="12" t="s">
        <v>56</v>
      </c>
      <c r="B42" s="53">
        <v>1.1000000000000001</v>
      </c>
    </row>
    <row r="43" spans="1:39" ht="15" thickBot="1"/>
    <row r="44" spans="1:39" ht="15" thickBot="1">
      <c r="A44" s="63" t="s">
        <v>36</v>
      </c>
    </row>
    <row r="45" spans="1:39" ht="15" thickBot="1">
      <c r="A45" s="44" t="s">
        <v>181</v>
      </c>
      <c r="B45" s="51">
        <v>25</v>
      </c>
      <c r="G45" s="6" t="s">
        <v>4</v>
      </c>
      <c r="H45" s="6">
        <v>2</v>
      </c>
      <c r="I45" s="6">
        <v>3</v>
      </c>
      <c r="J45" s="6">
        <v>4</v>
      </c>
      <c r="K45" s="6">
        <v>5</v>
      </c>
      <c r="L45" s="6">
        <v>6</v>
      </c>
      <c r="M45" s="6">
        <v>7</v>
      </c>
      <c r="N45" s="6">
        <v>8</v>
      </c>
      <c r="O45" s="6">
        <v>9</v>
      </c>
      <c r="P45" s="6">
        <v>10</v>
      </c>
      <c r="Q45" s="6">
        <v>11</v>
      </c>
      <c r="R45" s="6">
        <v>12</v>
      </c>
      <c r="S45" s="6" t="s">
        <v>3</v>
      </c>
    </row>
    <row r="46" spans="1:39">
      <c r="A46" s="10" t="s">
        <v>182</v>
      </c>
      <c r="B46" s="52">
        <v>20</v>
      </c>
      <c r="F46" t="s">
        <v>157</v>
      </c>
      <c r="G46" s="44">
        <f ca="1">B52*B12/100</f>
        <v>0.1819053477084536</v>
      </c>
      <c r="H46" s="15">
        <f ca="1">B53*(-H54+H53)/100</f>
        <v>8.471492342514382E-2</v>
      </c>
      <c r="I46" s="15">
        <f ca="1">B54*(-I54+I53)/100</f>
        <v>2.7764500439711338E-2</v>
      </c>
      <c r="J46" s="15"/>
      <c r="K46" s="15"/>
      <c r="L46" s="15"/>
      <c r="M46" s="15"/>
      <c r="N46" s="15"/>
      <c r="O46" s="15"/>
      <c r="P46" s="15"/>
      <c r="Q46" s="15"/>
      <c r="R46" s="15"/>
      <c r="S46" s="9"/>
    </row>
    <row r="47" spans="1:39" ht="15" thickBot="1">
      <c r="A47" s="12" t="s">
        <v>183</v>
      </c>
      <c r="B47" s="53">
        <v>90</v>
      </c>
      <c r="F47" t="s">
        <v>57</v>
      </c>
      <c r="G47" s="10">
        <f>B11</f>
        <v>1.9423696867486375</v>
      </c>
      <c r="H47" s="16">
        <f t="shared" ref="H47:S47" si="7">G47</f>
        <v>1.9423696867486375</v>
      </c>
      <c r="I47" s="16">
        <f t="shared" si="7"/>
        <v>1.9423696867486375</v>
      </c>
      <c r="J47" s="16">
        <f t="shared" si="7"/>
        <v>1.9423696867486375</v>
      </c>
      <c r="K47" s="16">
        <f t="shared" si="7"/>
        <v>1.9423696867486375</v>
      </c>
      <c r="L47" s="16">
        <f t="shared" si="7"/>
        <v>1.9423696867486375</v>
      </c>
      <c r="M47" s="16">
        <f t="shared" si="7"/>
        <v>1.9423696867486375</v>
      </c>
      <c r="N47" s="16">
        <f t="shared" si="7"/>
        <v>1.9423696867486375</v>
      </c>
      <c r="O47" s="16">
        <f t="shared" si="7"/>
        <v>1.9423696867486375</v>
      </c>
      <c r="P47" s="16">
        <f t="shared" si="7"/>
        <v>1.9423696867486375</v>
      </c>
      <c r="Q47" s="16">
        <f t="shared" si="7"/>
        <v>1.9423696867486375</v>
      </c>
      <c r="R47" s="16">
        <f t="shared" si="7"/>
        <v>1.9423696867486375</v>
      </c>
      <c r="S47" s="11">
        <f t="shared" si="7"/>
        <v>1.9423696867486375</v>
      </c>
    </row>
    <row r="48" spans="1:39" ht="15" thickBot="1">
      <c r="B48" s="37"/>
      <c r="F48" t="s">
        <v>158</v>
      </c>
      <c r="G48" s="10">
        <f ca="1">B12</f>
        <v>0.60635115902817871</v>
      </c>
      <c r="H48" s="16">
        <f t="shared" ref="H48:S48" ca="1" si="8">G48</f>
        <v>0.60635115902817871</v>
      </c>
      <c r="I48" s="16">
        <f t="shared" ca="1" si="8"/>
        <v>0.60635115902817871</v>
      </c>
      <c r="J48" s="16">
        <f t="shared" ca="1" si="8"/>
        <v>0.60635115902817871</v>
      </c>
      <c r="K48" s="16">
        <f t="shared" ca="1" si="8"/>
        <v>0.60635115902817871</v>
      </c>
      <c r="L48" s="16">
        <f t="shared" ca="1" si="8"/>
        <v>0.60635115902817871</v>
      </c>
      <c r="M48" s="16">
        <f t="shared" ca="1" si="8"/>
        <v>0.60635115902817871</v>
      </c>
      <c r="N48" s="16">
        <f t="shared" ca="1" si="8"/>
        <v>0.60635115902817871</v>
      </c>
      <c r="O48" s="16">
        <f t="shared" ca="1" si="8"/>
        <v>0.60635115902817871</v>
      </c>
      <c r="P48" s="16">
        <f t="shared" ca="1" si="8"/>
        <v>0.60635115902817871</v>
      </c>
      <c r="Q48" s="16">
        <f t="shared" ca="1" si="8"/>
        <v>0.60635115902817871</v>
      </c>
      <c r="R48" s="16">
        <f t="shared" ca="1" si="8"/>
        <v>0.60635115902817871</v>
      </c>
      <c r="S48" s="11">
        <f t="shared" ca="1" si="8"/>
        <v>0.60635115902817871</v>
      </c>
    </row>
    <row r="49" spans="1:19" ht="15" thickBot="1">
      <c r="A49" s="64" t="s">
        <v>123</v>
      </c>
      <c r="B49" s="54">
        <v>5</v>
      </c>
      <c r="F49" t="s">
        <v>58</v>
      </c>
      <c r="G49" s="10">
        <f ca="1">B14</f>
        <v>0.13339725498619931</v>
      </c>
      <c r="H49" s="16">
        <f t="shared" ref="H49:S49" ca="1" si="9">G49</f>
        <v>0.13339725498619931</v>
      </c>
      <c r="I49" s="16">
        <f t="shared" ca="1" si="9"/>
        <v>0.13339725498619931</v>
      </c>
      <c r="J49" s="16">
        <f t="shared" ca="1" si="9"/>
        <v>0.13339725498619931</v>
      </c>
      <c r="K49" s="16">
        <f t="shared" ca="1" si="9"/>
        <v>0.13339725498619931</v>
      </c>
      <c r="L49" s="16">
        <f t="shared" ca="1" si="9"/>
        <v>0.13339725498619931</v>
      </c>
      <c r="M49" s="16">
        <f t="shared" ca="1" si="9"/>
        <v>0.13339725498619931</v>
      </c>
      <c r="N49" s="16">
        <f t="shared" ca="1" si="9"/>
        <v>0.13339725498619931</v>
      </c>
      <c r="O49" s="16">
        <f t="shared" ca="1" si="9"/>
        <v>0.13339725498619931</v>
      </c>
      <c r="P49" s="16">
        <f t="shared" ca="1" si="9"/>
        <v>0.13339725498619931</v>
      </c>
      <c r="Q49" s="16">
        <f t="shared" ca="1" si="9"/>
        <v>0.13339725498619931</v>
      </c>
      <c r="R49" s="16">
        <f t="shared" ca="1" si="9"/>
        <v>0.13339725498619931</v>
      </c>
      <c r="S49" s="11">
        <f t="shared" ca="1" si="9"/>
        <v>0.13339725498619931</v>
      </c>
    </row>
    <row r="50" spans="1:19" ht="15" thickBot="1">
      <c r="F50" t="s">
        <v>59</v>
      </c>
      <c r="G50" s="10">
        <f>B16</f>
        <v>0.60648136249206819</v>
      </c>
      <c r="H50" s="16">
        <f t="shared" ref="H50:S50" si="10">G50</f>
        <v>0.60648136249206819</v>
      </c>
      <c r="I50" s="16">
        <f t="shared" si="10"/>
        <v>0.60648136249206819</v>
      </c>
      <c r="J50" s="16">
        <f t="shared" si="10"/>
        <v>0.60648136249206819</v>
      </c>
      <c r="K50" s="16">
        <f t="shared" si="10"/>
        <v>0.60648136249206819</v>
      </c>
      <c r="L50" s="16">
        <f t="shared" si="10"/>
        <v>0.60648136249206819</v>
      </c>
      <c r="M50" s="16">
        <f t="shared" si="10"/>
        <v>0.60648136249206819</v>
      </c>
      <c r="N50" s="16">
        <f t="shared" si="10"/>
        <v>0.60648136249206819</v>
      </c>
      <c r="O50" s="16">
        <f t="shared" si="10"/>
        <v>0.60648136249206819</v>
      </c>
      <c r="P50" s="16">
        <f t="shared" si="10"/>
        <v>0.60648136249206819</v>
      </c>
      <c r="Q50" s="16">
        <f t="shared" si="10"/>
        <v>0.60648136249206819</v>
      </c>
      <c r="R50" s="16">
        <f t="shared" si="10"/>
        <v>0.60648136249206819</v>
      </c>
      <c r="S50" s="11">
        <f t="shared" si="10"/>
        <v>0.60648136249206819</v>
      </c>
    </row>
    <row r="51" spans="1:19" ht="15" thickBot="1">
      <c r="A51" s="63" t="s">
        <v>136</v>
      </c>
      <c r="F51" t="s">
        <v>60</v>
      </c>
      <c r="G51" s="10">
        <f>0.5*G47/12</f>
        <v>8.093207028119323E-2</v>
      </c>
      <c r="H51" s="16">
        <f t="shared" ref="H51:S51" si="11">G51</f>
        <v>8.093207028119323E-2</v>
      </c>
      <c r="I51" s="16">
        <f t="shared" si="11"/>
        <v>8.093207028119323E-2</v>
      </c>
      <c r="J51" s="16">
        <f t="shared" si="11"/>
        <v>8.093207028119323E-2</v>
      </c>
      <c r="K51" s="16">
        <f t="shared" si="11"/>
        <v>8.093207028119323E-2</v>
      </c>
      <c r="L51" s="16">
        <f t="shared" si="11"/>
        <v>8.093207028119323E-2</v>
      </c>
      <c r="M51" s="16">
        <f t="shared" si="11"/>
        <v>8.093207028119323E-2</v>
      </c>
      <c r="N51" s="16">
        <f t="shared" si="11"/>
        <v>8.093207028119323E-2</v>
      </c>
      <c r="O51" s="16">
        <f t="shared" si="11"/>
        <v>8.093207028119323E-2</v>
      </c>
      <c r="P51" s="16">
        <f t="shared" si="11"/>
        <v>8.093207028119323E-2</v>
      </c>
      <c r="Q51" s="16">
        <f t="shared" si="11"/>
        <v>8.093207028119323E-2</v>
      </c>
      <c r="R51" s="16">
        <f t="shared" si="11"/>
        <v>8.093207028119323E-2</v>
      </c>
      <c r="S51" s="11">
        <f t="shared" si="11"/>
        <v>8.093207028119323E-2</v>
      </c>
    </row>
    <row r="52" spans="1:19">
      <c r="A52" s="44" t="s">
        <v>160</v>
      </c>
      <c r="B52" s="55">
        <v>30</v>
      </c>
      <c r="F52" t="s">
        <v>61</v>
      </c>
      <c r="G52" s="10">
        <v>0</v>
      </c>
      <c r="H52" s="16">
        <f>G52+H51</f>
        <v>8.093207028119323E-2</v>
      </c>
      <c r="I52" s="16">
        <f t="shared" ref="I52:S52" si="12">H52+I51</f>
        <v>0.16186414056238646</v>
      </c>
      <c r="J52" s="16">
        <f t="shared" si="12"/>
        <v>0.24279621084357969</v>
      </c>
      <c r="K52" s="16">
        <f t="shared" si="12"/>
        <v>0.32372828112477292</v>
      </c>
      <c r="L52" s="16">
        <f t="shared" si="12"/>
        <v>0.40466035140596612</v>
      </c>
      <c r="M52" s="16">
        <f t="shared" si="12"/>
        <v>0.48559242168715933</v>
      </c>
      <c r="N52" s="16">
        <f t="shared" si="12"/>
        <v>0.56652449196835253</v>
      </c>
      <c r="O52" s="16">
        <f t="shared" si="12"/>
        <v>0.64745656224954573</v>
      </c>
      <c r="P52" s="16">
        <f t="shared" si="12"/>
        <v>0.72838863253073893</v>
      </c>
      <c r="Q52" s="16">
        <f t="shared" si="12"/>
        <v>0.80932070281193214</v>
      </c>
      <c r="R52" s="16">
        <f t="shared" si="12"/>
        <v>0.89025277309312534</v>
      </c>
      <c r="S52" s="11">
        <f t="shared" si="12"/>
        <v>0.97118484337431854</v>
      </c>
    </row>
    <row r="53" spans="1:19">
      <c r="A53" s="10" t="s">
        <v>178</v>
      </c>
      <c r="B53" s="56">
        <v>13</v>
      </c>
      <c r="F53" t="s">
        <v>62</v>
      </c>
      <c r="G53" s="10">
        <f>-G52*G50/(G47*0.5)</f>
        <v>0</v>
      </c>
      <c r="H53" s="16">
        <f t="shared" ref="H53:S53" si="13">-H52*H50/(H47*0.5)</f>
        <v>-5.0540113541005682E-2</v>
      </c>
      <c r="I53" s="16">
        <f t="shared" si="13"/>
        <v>-0.10108022708201136</v>
      </c>
      <c r="J53" s="16">
        <f t="shared" si="13"/>
        <v>-0.15162034062301705</v>
      </c>
      <c r="K53" s="16">
        <f t="shared" si="13"/>
        <v>-0.20216045416402273</v>
      </c>
      <c r="L53" s="16">
        <f t="shared" si="13"/>
        <v>-0.25270056770502841</v>
      </c>
      <c r="M53" s="16">
        <f t="shared" si="13"/>
        <v>-0.30324068124603404</v>
      </c>
      <c r="N53" s="16">
        <f t="shared" si="13"/>
        <v>-0.35378079478703972</v>
      </c>
      <c r="O53" s="16">
        <f t="shared" si="13"/>
        <v>-0.40432090832804535</v>
      </c>
      <c r="P53" s="16">
        <f t="shared" si="13"/>
        <v>-0.45486102186905103</v>
      </c>
      <c r="Q53" s="16">
        <f t="shared" si="13"/>
        <v>-0.50540113541005671</v>
      </c>
      <c r="R53" s="16">
        <f t="shared" si="13"/>
        <v>-0.55594124895106234</v>
      </c>
      <c r="S53" s="11">
        <f t="shared" si="13"/>
        <v>-0.60648136249206797</v>
      </c>
    </row>
    <row r="54" spans="1:19">
      <c r="A54" s="10" t="s">
        <v>159</v>
      </c>
      <c r="B54" s="56">
        <v>5</v>
      </c>
      <c r="F54" t="s">
        <v>63</v>
      </c>
      <c r="G54" s="10">
        <f ca="1">-(G48+G52*((G50+G49-G48)/(G47*0.5)))-G46</f>
        <v>-0.78825650673663228</v>
      </c>
      <c r="H54" s="16">
        <f ca="1">-(H48+H52*((H50+H49-H48)/(H47*0.5)))-H46</f>
        <v>-0.70681037017430748</v>
      </c>
      <c r="I54" s="16">
        <f t="shared" ref="I54:S54" ca="1" si="14">-(I48+I52*((I50+I49-I48)/(I47*0.5)))-I46</f>
        <v>-0.66560423490985987</v>
      </c>
      <c r="J54" s="16">
        <f t="shared" ca="1" si="14"/>
        <v>-0.65358402219113354</v>
      </c>
      <c r="K54" s="16">
        <f t="shared" ca="1" si="14"/>
        <v>-0.66932830991211845</v>
      </c>
      <c r="L54" s="16">
        <f t="shared" ca="1" si="14"/>
        <v>-0.68507259763310335</v>
      </c>
      <c r="M54" s="16">
        <f t="shared" ca="1" si="14"/>
        <v>-0.70081688535408826</v>
      </c>
      <c r="N54" s="16">
        <f t="shared" ca="1" si="14"/>
        <v>-0.71656117307507317</v>
      </c>
      <c r="O54" s="16">
        <f t="shared" ca="1" si="14"/>
        <v>-0.73230546079605807</v>
      </c>
      <c r="P54" s="16">
        <f t="shared" ca="1" si="14"/>
        <v>-0.74804974851704298</v>
      </c>
      <c r="Q54" s="16">
        <f t="shared" ca="1" si="14"/>
        <v>-0.763794036238028</v>
      </c>
      <c r="R54" s="16">
        <f t="shared" ca="1" si="14"/>
        <v>-0.77953832395901279</v>
      </c>
      <c r="S54" s="11">
        <f t="shared" ca="1" si="14"/>
        <v>-0.79528261167999781</v>
      </c>
    </row>
    <row r="55" spans="1:19" ht="15" thickBot="1">
      <c r="A55" s="12" t="s">
        <v>139</v>
      </c>
      <c r="B55" s="57">
        <f ca="1">W28</f>
        <v>3.5936471836798552E-2</v>
      </c>
      <c r="F55" t="s">
        <v>156</v>
      </c>
      <c r="G55" s="12">
        <f ca="1">-G54+G53</f>
        <v>0.78825650673663228</v>
      </c>
      <c r="H55" s="25">
        <f t="shared" ref="H55:S55" ca="1" si="15">-H54+H53</f>
        <v>0.65165325711649091</v>
      </c>
      <c r="I55" s="25">
        <f t="shared" ca="1" si="15"/>
        <v>0.55529000879422674</v>
      </c>
      <c r="J55" s="25">
        <f t="shared" ca="1" si="15"/>
        <v>0.4881126830176839</v>
      </c>
      <c r="K55" s="25">
        <f t="shared" ca="1" si="15"/>
        <v>0.4486998576808523</v>
      </c>
      <c r="L55" s="25">
        <f t="shared" ca="1" si="15"/>
        <v>0.40928703234402064</v>
      </c>
      <c r="M55" s="25">
        <f t="shared" ca="1" si="15"/>
        <v>0.36987420700718898</v>
      </c>
      <c r="N55" s="25">
        <f t="shared" ca="1" si="15"/>
        <v>0.33046138167035732</v>
      </c>
      <c r="O55" s="25">
        <f t="shared" ca="1" si="15"/>
        <v>0.29104855633352572</v>
      </c>
      <c r="P55" s="25">
        <f t="shared" ca="1" si="15"/>
        <v>0.25163573099669406</v>
      </c>
      <c r="Q55" s="25">
        <f t="shared" ca="1" si="15"/>
        <v>0.21222290565986257</v>
      </c>
      <c r="R55" s="25">
        <f t="shared" ca="1" si="15"/>
        <v>0.1728100803230308</v>
      </c>
      <c r="S55" s="13">
        <f t="shared" ca="1" si="15"/>
        <v>0.13339725498619937</v>
      </c>
    </row>
  </sheetData>
  <mergeCells count="1">
    <mergeCell ref="F7:S8"/>
  </mergeCells>
  <pageMargins left="0.7" right="0.7" top="0.75" bottom="0.75" header="0.3" footer="0.3"/>
  <pageSetup paperSize="9" orientation="portrait" horizontalDpi="300" verticalDpi="300"/>
  <ignoredErrors>
    <ignoredError sqref="B28" unlockedFormula="1"/>
  </ignoredErrors>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113"/>
  <sheetViews>
    <sheetView topLeftCell="A34" workbookViewId="0">
      <selection activeCell="A25" sqref="A25"/>
    </sheetView>
  </sheetViews>
  <sheetFormatPr baseColWidth="10" defaultColWidth="8.83203125" defaultRowHeight="14" x14ac:dyDescent="0"/>
  <cols>
    <col min="1" max="1" width="33.5" customWidth="1"/>
    <col min="5" max="5" width="31.5" customWidth="1"/>
    <col min="6" max="6" width="10.5" customWidth="1"/>
  </cols>
  <sheetData>
    <row r="1" spans="1:21">
      <c r="A1" s="14" t="s">
        <v>88</v>
      </c>
    </row>
    <row r="2" spans="1:21" ht="15" thickBot="1">
      <c r="E2" t="s">
        <v>64</v>
      </c>
      <c r="F2">
        <f ca="1">'Planform Geometry'!G55</f>
        <v>0.78825650673663228</v>
      </c>
      <c r="G2">
        <f ca="1">'Planform Geometry'!H55</f>
        <v>0.65165325711649091</v>
      </c>
      <c r="H2">
        <f ca="1">'Planform Geometry'!I55</f>
        <v>0.55529000879422674</v>
      </c>
      <c r="I2">
        <f ca="1">'Planform Geometry'!J55</f>
        <v>0.4881126830176839</v>
      </c>
      <c r="J2">
        <f ca="1">'Planform Geometry'!K55</f>
        <v>0.4486998576808523</v>
      </c>
      <c r="K2">
        <f ca="1">'Planform Geometry'!L55</f>
        <v>0.40928703234402064</v>
      </c>
      <c r="L2">
        <f ca="1">'Planform Geometry'!M55</f>
        <v>0.36987420700718898</v>
      </c>
      <c r="M2">
        <f ca="1">'Planform Geometry'!N55</f>
        <v>0.33046138167035732</v>
      </c>
      <c r="N2">
        <f ca="1">'Planform Geometry'!O55</f>
        <v>0.29104855633352572</v>
      </c>
      <c r="O2">
        <f ca="1">'Planform Geometry'!P55</f>
        <v>0.25163573099669406</v>
      </c>
      <c r="P2">
        <f ca="1">'Planform Geometry'!Q55</f>
        <v>0.21222290565986257</v>
      </c>
      <c r="Q2">
        <f ca="1">'Planform Geometry'!R55</f>
        <v>0.1728100803230308</v>
      </c>
      <c r="R2">
        <f ca="1">'Planform Geometry'!S55</f>
        <v>0.13339725498619937</v>
      </c>
      <c r="T2" t="s">
        <v>172</v>
      </c>
    </row>
    <row r="3" spans="1:21" ht="15" thickBot="1">
      <c r="A3" s="64" t="s">
        <v>133</v>
      </c>
      <c r="B3" s="60">
        <v>100</v>
      </c>
      <c r="E3" t="s">
        <v>61</v>
      </c>
      <c r="F3">
        <f>'Planform Geometry'!G52</f>
        <v>0</v>
      </c>
      <c r="G3">
        <f>'Planform Geometry'!H52</f>
        <v>8.093207028119323E-2</v>
      </c>
      <c r="H3">
        <f>'Planform Geometry'!I52</f>
        <v>0.16186414056238646</v>
      </c>
      <c r="I3">
        <f>'Planform Geometry'!J52</f>
        <v>0.24279621084357969</v>
      </c>
      <c r="J3">
        <f>'Planform Geometry'!K52</f>
        <v>0.32372828112477292</v>
      </c>
      <c r="K3">
        <f>'Planform Geometry'!L52</f>
        <v>0.40466035140596612</v>
      </c>
      <c r="L3">
        <f>'Planform Geometry'!M52</f>
        <v>0.48559242168715933</v>
      </c>
      <c r="M3">
        <f>'Planform Geometry'!N52</f>
        <v>0.56652449196835253</v>
      </c>
      <c r="N3">
        <f>'Planform Geometry'!O52</f>
        <v>0.64745656224954573</v>
      </c>
      <c r="O3">
        <f>'Planform Geometry'!P52</f>
        <v>0.72838863253073893</v>
      </c>
      <c r="P3">
        <f>'Planform Geometry'!Q52</f>
        <v>0.80932070281193214</v>
      </c>
      <c r="Q3">
        <f>'Planform Geometry'!R52</f>
        <v>0.89025277309312534</v>
      </c>
      <c r="R3">
        <f>'Planform Geometry'!S52</f>
        <v>0.97118484337431854</v>
      </c>
      <c r="T3" t="s">
        <v>117</v>
      </c>
      <c r="U3">
        <f ca="1">F70</f>
        <v>0.60635115902817871</v>
      </c>
    </row>
    <row r="4" spans="1:21" ht="15" thickBot="1">
      <c r="E4" t="s">
        <v>126</v>
      </c>
      <c r="F4">
        <f>SQRT(2*F15*9.81/(F13*B21*'Planform Geometry'!B7))</f>
        <v>10.597140502125534</v>
      </c>
      <c r="G4">
        <f t="shared" ref="G4:R8" si="0">F4</f>
        <v>10.597140502125534</v>
      </c>
      <c r="H4">
        <f t="shared" si="0"/>
        <v>10.597140502125534</v>
      </c>
      <c r="I4">
        <f t="shared" si="0"/>
        <v>10.597140502125534</v>
      </c>
      <c r="J4">
        <f t="shared" si="0"/>
        <v>10.597140502125534</v>
      </c>
      <c r="K4">
        <f t="shared" si="0"/>
        <v>10.597140502125534</v>
      </c>
      <c r="L4">
        <f t="shared" si="0"/>
        <v>10.597140502125534</v>
      </c>
      <c r="M4">
        <f t="shared" si="0"/>
        <v>10.597140502125534</v>
      </c>
      <c r="N4">
        <f t="shared" si="0"/>
        <v>10.597140502125534</v>
      </c>
      <c r="O4">
        <f t="shared" si="0"/>
        <v>10.597140502125534</v>
      </c>
      <c r="P4">
        <f t="shared" si="0"/>
        <v>10.597140502125534</v>
      </c>
      <c r="Q4">
        <f t="shared" si="0"/>
        <v>10.597140502125534</v>
      </c>
      <c r="R4">
        <f t="shared" si="0"/>
        <v>10.597140502125534</v>
      </c>
      <c r="T4" t="s">
        <v>118</v>
      </c>
      <c r="U4">
        <f ca="1">U3*U5</f>
        <v>0.13339725498619931</v>
      </c>
    </row>
    <row r="5" spans="1:21" ht="15" thickBot="1">
      <c r="A5" s="63" t="s">
        <v>163</v>
      </c>
      <c r="E5" t="s">
        <v>175</v>
      </c>
      <c r="F5">
        <f ca="1">SQRT(2*F15*9.81/(F13*B18*'Planform Geometry'!B7))</f>
        <v>14.65048416407496</v>
      </c>
      <c r="G5">
        <f t="shared" ca="1" si="0"/>
        <v>14.65048416407496</v>
      </c>
      <c r="H5">
        <f t="shared" ca="1" si="0"/>
        <v>14.65048416407496</v>
      </c>
      <c r="I5">
        <f t="shared" ca="1" si="0"/>
        <v>14.65048416407496</v>
      </c>
      <c r="J5">
        <f t="shared" ca="1" si="0"/>
        <v>14.65048416407496</v>
      </c>
      <c r="K5">
        <f t="shared" ca="1" si="0"/>
        <v>14.65048416407496</v>
      </c>
      <c r="L5">
        <f t="shared" ca="1" si="0"/>
        <v>14.65048416407496</v>
      </c>
      <c r="M5">
        <f t="shared" ca="1" si="0"/>
        <v>14.65048416407496</v>
      </c>
      <c r="N5">
        <f t="shared" ca="1" si="0"/>
        <v>14.65048416407496</v>
      </c>
      <c r="O5">
        <f t="shared" ca="1" si="0"/>
        <v>14.65048416407496</v>
      </c>
      <c r="P5">
        <f t="shared" ca="1" si="0"/>
        <v>14.65048416407496</v>
      </c>
      <c r="Q5">
        <f t="shared" ca="1" si="0"/>
        <v>14.65048416407496</v>
      </c>
      <c r="R5">
        <f t="shared" ca="1" si="0"/>
        <v>14.65048416407496</v>
      </c>
      <c r="T5" t="s">
        <v>11</v>
      </c>
      <c r="U5">
        <f>'Planform Geometry'!B9</f>
        <v>0.33</v>
      </c>
    </row>
    <row r="6" spans="1:21">
      <c r="A6" s="44" t="s">
        <v>120</v>
      </c>
      <c r="B6" s="55">
        <v>0.01</v>
      </c>
      <c r="E6" t="s">
        <v>127</v>
      </c>
      <c r="F6">
        <f>SQRT(2*F15*9.81/(F13*B24*'Planform Geometry'!B7))</f>
        <v>33.511100671537093</v>
      </c>
      <c r="G6">
        <f t="shared" si="0"/>
        <v>33.511100671537093</v>
      </c>
      <c r="H6">
        <f t="shared" si="0"/>
        <v>33.511100671537093</v>
      </c>
      <c r="I6">
        <f t="shared" si="0"/>
        <v>33.511100671537093</v>
      </c>
      <c r="J6">
        <f t="shared" si="0"/>
        <v>33.511100671537093</v>
      </c>
      <c r="K6">
        <f t="shared" si="0"/>
        <v>33.511100671537093</v>
      </c>
      <c r="L6">
        <f t="shared" si="0"/>
        <v>33.511100671537093</v>
      </c>
      <c r="M6">
        <f t="shared" si="0"/>
        <v>33.511100671537093</v>
      </c>
      <c r="N6">
        <f t="shared" si="0"/>
        <v>33.511100671537093</v>
      </c>
      <c r="O6">
        <f t="shared" si="0"/>
        <v>33.511100671537093</v>
      </c>
      <c r="P6">
        <f t="shared" si="0"/>
        <v>33.511100671537093</v>
      </c>
      <c r="Q6">
        <f t="shared" si="0"/>
        <v>33.511100671537093</v>
      </c>
      <c r="R6">
        <f t="shared" si="0"/>
        <v>33.511100671537093</v>
      </c>
      <c r="T6" t="s">
        <v>113</v>
      </c>
      <c r="U6">
        <f>0.25*(3+2*U5+U5*U5)/(1+U5+U5*U5)</f>
        <v>0.65482312877892834</v>
      </c>
    </row>
    <row r="7" spans="1:21">
      <c r="A7" s="10" t="s">
        <v>121</v>
      </c>
      <c r="B7" s="56">
        <v>-0.05</v>
      </c>
      <c r="E7" t="s">
        <v>83</v>
      </c>
      <c r="F7">
        <v>100</v>
      </c>
      <c r="G7">
        <f t="shared" si="0"/>
        <v>100</v>
      </c>
      <c r="H7">
        <f t="shared" si="0"/>
        <v>100</v>
      </c>
      <c r="I7">
        <f t="shared" si="0"/>
        <v>100</v>
      </c>
      <c r="J7">
        <f t="shared" si="0"/>
        <v>100</v>
      </c>
      <c r="K7">
        <f t="shared" si="0"/>
        <v>100</v>
      </c>
      <c r="L7">
        <f t="shared" si="0"/>
        <v>100</v>
      </c>
      <c r="M7">
        <f t="shared" si="0"/>
        <v>100</v>
      </c>
      <c r="N7">
        <f t="shared" si="0"/>
        <v>100</v>
      </c>
      <c r="O7">
        <f t="shared" si="0"/>
        <v>100</v>
      </c>
      <c r="P7">
        <f t="shared" si="0"/>
        <v>100</v>
      </c>
      <c r="Q7">
        <f t="shared" si="0"/>
        <v>100</v>
      </c>
      <c r="R7">
        <f t="shared" si="0"/>
        <v>100</v>
      </c>
      <c r="T7" t="s">
        <v>114</v>
      </c>
      <c r="U7">
        <f>1-U6</f>
        <v>0.34517687122107166</v>
      </c>
    </row>
    <row r="8" spans="1:21">
      <c r="A8" s="45" t="s">
        <v>161</v>
      </c>
      <c r="B8" s="56">
        <v>-0.9</v>
      </c>
      <c r="E8" t="s">
        <v>84</v>
      </c>
      <c r="F8">
        <f t="shared" ref="F8" si="1">1.225*(1-F7/44300)^4.25588</f>
        <v>1.2132746567549688</v>
      </c>
      <c r="G8">
        <f>F8</f>
        <v>1.2132746567549688</v>
      </c>
      <c r="H8">
        <f t="shared" si="0"/>
        <v>1.2132746567549688</v>
      </c>
      <c r="I8">
        <f t="shared" si="0"/>
        <v>1.2132746567549688</v>
      </c>
      <c r="J8">
        <f t="shared" si="0"/>
        <v>1.2132746567549688</v>
      </c>
      <c r="K8">
        <f t="shared" si="0"/>
        <v>1.2132746567549688</v>
      </c>
      <c r="L8">
        <f t="shared" si="0"/>
        <v>1.2132746567549688</v>
      </c>
      <c r="M8">
        <f t="shared" si="0"/>
        <v>1.2132746567549688</v>
      </c>
      <c r="N8">
        <f t="shared" si="0"/>
        <v>1.2132746567549688</v>
      </c>
      <c r="O8">
        <f t="shared" si="0"/>
        <v>1.2132746567549688</v>
      </c>
      <c r="P8">
        <f t="shared" si="0"/>
        <v>1.2132746567549688</v>
      </c>
      <c r="Q8">
        <f t="shared" si="0"/>
        <v>1.2132746567549688</v>
      </c>
      <c r="R8">
        <f t="shared" si="0"/>
        <v>1.2132746567549688</v>
      </c>
      <c r="T8" t="s">
        <v>119</v>
      </c>
      <c r="U8">
        <f ca="1">'Planform Geometry'!B15</f>
        <v>27.167970852560412</v>
      </c>
    </row>
    <row r="9" spans="1:21">
      <c r="A9" s="45" t="s">
        <v>162</v>
      </c>
      <c r="B9" s="56">
        <v>-1.86</v>
      </c>
      <c r="E9" t="s">
        <v>132</v>
      </c>
      <c r="F9">
        <v>1.2250000000000001</v>
      </c>
      <c r="G9">
        <f t="shared" ref="G9:R9" si="2">F9</f>
        <v>1.2250000000000001</v>
      </c>
      <c r="H9">
        <f t="shared" si="2"/>
        <v>1.2250000000000001</v>
      </c>
      <c r="I9">
        <f t="shared" si="2"/>
        <v>1.2250000000000001</v>
      </c>
      <c r="J9">
        <f t="shared" si="2"/>
        <v>1.2250000000000001</v>
      </c>
      <c r="K9">
        <f t="shared" si="2"/>
        <v>1.2250000000000001</v>
      </c>
      <c r="L9">
        <f t="shared" si="2"/>
        <v>1.2250000000000001</v>
      </c>
      <c r="M9">
        <f t="shared" si="2"/>
        <v>1.2250000000000001</v>
      </c>
      <c r="N9">
        <f t="shared" si="2"/>
        <v>1.2250000000000001</v>
      </c>
      <c r="O9">
        <f t="shared" si="2"/>
        <v>1.2250000000000001</v>
      </c>
      <c r="P9">
        <f t="shared" si="2"/>
        <v>1.2250000000000001</v>
      </c>
      <c r="Q9">
        <f t="shared" si="2"/>
        <v>1.2250000000000001</v>
      </c>
      <c r="R9">
        <f t="shared" si="2"/>
        <v>1.2250000000000001</v>
      </c>
      <c r="T9" t="s">
        <v>165</v>
      </c>
      <c r="U9">
        <f ca="1">'Planform Geometry'!B29/100</f>
        <v>9.7017216051380348E-2</v>
      </c>
    </row>
    <row r="10" spans="1:21" ht="15" thickBot="1">
      <c r="A10" s="58" t="s">
        <v>171</v>
      </c>
      <c r="B10" s="59">
        <v>0.1</v>
      </c>
      <c r="T10" t="s">
        <v>115</v>
      </c>
      <c r="U10">
        <f ca="1">(2*R3)^2/(F34-'Planform Geometry'!B55)</f>
        <v>5.7311682517958715</v>
      </c>
    </row>
    <row r="11" spans="1:21" ht="15" thickBot="1">
      <c r="E11" s="26" t="s">
        <v>77</v>
      </c>
      <c r="F11" s="15"/>
      <c r="G11" s="15"/>
      <c r="H11" s="15"/>
      <c r="I11" s="15"/>
      <c r="J11" s="15"/>
      <c r="K11" s="15"/>
      <c r="L11" s="15"/>
      <c r="M11" s="15"/>
      <c r="N11" s="15"/>
      <c r="O11" s="15"/>
      <c r="P11" s="15"/>
      <c r="Q11" s="15"/>
      <c r="R11" s="9"/>
      <c r="T11" t="s">
        <v>116</v>
      </c>
      <c r="U11">
        <f ca="1">F90</f>
        <v>-11.544810905467841</v>
      </c>
    </row>
    <row r="12" spans="1:21" ht="15" thickBot="1">
      <c r="A12" s="65" t="s">
        <v>164</v>
      </c>
      <c r="E12" s="10" t="s">
        <v>133</v>
      </c>
      <c r="F12" s="16">
        <f>B3</f>
        <v>100</v>
      </c>
      <c r="G12" s="16"/>
      <c r="H12" s="16"/>
      <c r="I12" s="16"/>
      <c r="J12" s="16"/>
      <c r="K12" s="16"/>
      <c r="L12" s="16"/>
      <c r="M12" s="16"/>
      <c r="N12" s="16"/>
      <c r="O12" s="16"/>
      <c r="P12" s="16"/>
      <c r="Q12" s="16"/>
      <c r="R12" s="11"/>
    </row>
    <row r="13" spans="1:21">
      <c r="A13" s="44" t="s">
        <v>135</v>
      </c>
      <c r="B13" s="55">
        <v>0.5</v>
      </c>
      <c r="E13" s="10" t="s">
        <v>89</v>
      </c>
      <c r="F13" s="16">
        <f>1.225*(1-F12/44300)^4.25588</f>
        <v>1.2132746567549688</v>
      </c>
      <c r="G13" s="16">
        <f>F13</f>
        <v>1.2132746567549688</v>
      </c>
      <c r="H13" s="16">
        <f t="shared" ref="H13:R18" si="3">G13</f>
        <v>1.2132746567549688</v>
      </c>
      <c r="I13" s="16">
        <f t="shared" si="3"/>
        <v>1.2132746567549688</v>
      </c>
      <c r="J13" s="16">
        <f t="shared" si="3"/>
        <v>1.2132746567549688</v>
      </c>
      <c r="K13" s="16">
        <f t="shared" si="3"/>
        <v>1.2132746567549688</v>
      </c>
      <c r="L13" s="16">
        <f t="shared" si="3"/>
        <v>1.2132746567549688</v>
      </c>
      <c r="M13" s="16">
        <f t="shared" si="3"/>
        <v>1.2132746567549688</v>
      </c>
      <c r="N13" s="16">
        <f t="shared" si="3"/>
        <v>1.2132746567549688</v>
      </c>
      <c r="O13" s="16">
        <f t="shared" si="3"/>
        <v>1.2132746567549688</v>
      </c>
      <c r="P13" s="16">
        <f t="shared" si="3"/>
        <v>1.2132746567549688</v>
      </c>
      <c r="Q13" s="16">
        <f t="shared" si="3"/>
        <v>1.2132746567549688</v>
      </c>
      <c r="R13" s="11">
        <f t="shared" si="3"/>
        <v>1.2132746567549688</v>
      </c>
    </row>
    <row r="14" spans="1:21" ht="15" thickBot="1">
      <c r="A14" s="12" t="s">
        <v>79</v>
      </c>
      <c r="B14" s="59">
        <v>1</v>
      </c>
      <c r="E14" s="10" t="s">
        <v>90</v>
      </c>
      <c r="F14" s="16">
        <f>F35</f>
        <v>14.986619820479161</v>
      </c>
      <c r="G14" s="16">
        <f>F14</f>
        <v>14.986619820479161</v>
      </c>
      <c r="H14" s="16">
        <f t="shared" si="3"/>
        <v>14.986619820479161</v>
      </c>
      <c r="I14" s="16">
        <f t="shared" si="3"/>
        <v>14.986619820479161</v>
      </c>
      <c r="J14" s="16">
        <f t="shared" si="3"/>
        <v>14.986619820479161</v>
      </c>
      <c r="K14" s="16">
        <f t="shared" si="3"/>
        <v>14.986619820479161</v>
      </c>
      <c r="L14" s="16">
        <f t="shared" si="3"/>
        <v>14.986619820479161</v>
      </c>
      <c r="M14" s="16">
        <f t="shared" si="3"/>
        <v>14.986619820479161</v>
      </c>
      <c r="N14" s="16">
        <f t="shared" si="3"/>
        <v>14.986619820479161</v>
      </c>
      <c r="O14" s="16">
        <f t="shared" si="3"/>
        <v>14.986619820479161</v>
      </c>
      <c r="P14" s="16">
        <f t="shared" si="3"/>
        <v>14.986619820479161</v>
      </c>
      <c r="Q14" s="16">
        <f t="shared" si="3"/>
        <v>14.986619820479161</v>
      </c>
      <c r="R14" s="11">
        <f t="shared" si="3"/>
        <v>14.986619820479161</v>
      </c>
    </row>
    <row r="15" spans="1:21" ht="15" thickBot="1">
      <c r="E15" s="10" t="s">
        <v>91</v>
      </c>
      <c r="F15" s="16">
        <f>'Planform Geometry'!B49</f>
        <v>5</v>
      </c>
      <c r="G15" s="16">
        <f>F15</f>
        <v>5</v>
      </c>
      <c r="H15" s="16">
        <f t="shared" si="3"/>
        <v>5</v>
      </c>
      <c r="I15" s="16">
        <f t="shared" si="3"/>
        <v>5</v>
      </c>
      <c r="J15" s="16">
        <f t="shared" si="3"/>
        <v>5</v>
      </c>
      <c r="K15" s="16">
        <f t="shared" si="3"/>
        <v>5</v>
      </c>
      <c r="L15" s="16">
        <f t="shared" si="3"/>
        <v>5</v>
      </c>
      <c r="M15" s="16">
        <f t="shared" si="3"/>
        <v>5</v>
      </c>
      <c r="N15" s="16">
        <f t="shared" si="3"/>
        <v>5</v>
      </c>
      <c r="O15" s="16">
        <f t="shared" si="3"/>
        <v>5</v>
      </c>
      <c r="P15" s="16">
        <f t="shared" si="3"/>
        <v>5</v>
      </c>
      <c r="Q15" s="16">
        <f t="shared" si="3"/>
        <v>5</v>
      </c>
      <c r="R15" s="11">
        <f t="shared" si="3"/>
        <v>5</v>
      </c>
    </row>
    <row r="16" spans="1:21" ht="15" thickBot="1">
      <c r="A16" s="63" t="s">
        <v>174</v>
      </c>
      <c r="E16" s="10" t="s">
        <v>57</v>
      </c>
      <c r="F16" s="16">
        <f>2*R3</f>
        <v>1.9423696867486371</v>
      </c>
      <c r="G16" s="16">
        <f>F16</f>
        <v>1.9423696867486371</v>
      </c>
      <c r="H16" s="16">
        <f t="shared" si="3"/>
        <v>1.9423696867486371</v>
      </c>
      <c r="I16" s="16">
        <f t="shared" si="3"/>
        <v>1.9423696867486371</v>
      </c>
      <c r="J16" s="16">
        <f t="shared" si="3"/>
        <v>1.9423696867486371</v>
      </c>
      <c r="K16" s="16">
        <f t="shared" si="3"/>
        <v>1.9423696867486371</v>
      </c>
      <c r="L16" s="16">
        <f t="shared" si="3"/>
        <v>1.9423696867486371</v>
      </c>
      <c r="M16" s="16">
        <f t="shared" si="3"/>
        <v>1.9423696867486371</v>
      </c>
      <c r="N16" s="16">
        <f t="shared" si="3"/>
        <v>1.9423696867486371</v>
      </c>
      <c r="O16" s="16">
        <f t="shared" si="3"/>
        <v>1.9423696867486371</v>
      </c>
      <c r="P16" s="16">
        <f t="shared" si="3"/>
        <v>1.9423696867486371</v>
      </c>
      <c r="Q16" s="16">
        <f t="shared" si="3"/>
        <v>1.9423696867486371</v>
      </c>
      <c r="R16" s="11">
        <f t="shared" si="3"/>
        <v>1.9423696867486371</v>
      </c>
    </row>
    <row r="17" spans="1:18">
      <c r="A17" s="44" t="s">
        <v>184</v>
      </c>
      <c r="B17" s="55">
        <v>15</v>
      </c>
      <c r="E17" s="10"/>
      <c r="F17" s="16"/>
      <c r="G17" s="16"/>
      <c r="H17" s="16"/>
      <c r="I17" s="16"/>
      <c r="J17" s="16"/>
      <c r="K17" s="16"/>
      <c r="L17" s="16"/>
      <c r="M17" s="16"/>
      <c r="N17" s="16"/>
      <c r="O17" s="16"/>
      <c r="P17" s="16"/>
      <c r="Q17" s="16"/>
      <c r="R17" s="11"/>
    </row>
    <row r="18" spans="1:18">
      <c r="A18" s="10" t="s">
        <v>122</v>
      </c>
      <c r="B18" s="61">
        <f ca="1">(U11*(0.000014*U10^1.43*U8)-U6*B6-U7*B7)/(-U9)</f>
        <v>0.4594011460711433</v>
      </c>
      <c r="E18" s="10" t="s">
        <v>79</v>
      </c>
      <c r="F18" s="16">
        <f>B14</f>
        <v>1</v>
      </c>
      <c r="G18" s="16">
        <f>F18</f>
        <v>1</v>
      </c>
      <c r="H18" s="16">
        <f t="shared" si="3"/>
        <v>1</v>
      </c>
      <c r="I18" s="16">
        <f t="shared" si="3"/>
        <v>1</v>
      </c>
      <c r="J18" s="16">
        <f t="shared" si="3"/>
        <v>1</v>
      </c>
      <c r="K18" s="16">
        <f t="shared" si="3"/>
        <v>1</v>
      </c>
      <c r="L18" s="16">
        <f t="shared" si="3"/>
        <v>1</v>
      </c>
      <c r="M18" s="16">
        <f t="shared" si="3"/>
        <v>1</v>
      </c>
      <c r="N18" s="16">
        <f t="shared" si="3"/>
        <v>1</v>
      </c>
      <c r="O18" s="16">
        <f t="shared" si="3"/>
        <v>1</v>
      </c>
      <c r="P18" s="16">
        <f t="shared" si="3"/>
        <v>1</v>
      </c>
      <c r="Q18" s="16">
        <f t="shared" si="3"/>
        <v>1</v>
      </c>
      <c r="R18" s="11">
        <f t="shared" si="3"/>
        <v>1</v>
      </c>
    </row>
    <row r="19" spans="1:18" ht="15" thickBot="1">
      <c r="A19" s="12" t="s">
        <v>166</v>
      </c>
      <c r="B19" s="57">
        <f ca="1">F5</f>
        <v>14.65048416407496</v>
      </c>
      <c r="E19" s="10" t="s">
        <v>96</v>
      </c>
      <c r="F19" s="16">
        <f>0.25*F16*SQRT((1-F18/2)/(1-F18/4))</f>
        <v>0.39648455203198013</v>
      </c>
      <c r="G19" s="16">
        <f t="shared" ref="G19:R19" si="4">0.25*G16*SQRT((1-G18/2)/(1-G18/4))</f>
        <v>0.39648455203198013</v>
      </c>
      <c r="H19" s="16">
        <f t="shared" si="4"/>
        <v>0.39648455203198013</v>
      </c>
      <c r="I19" s="16">
        <f t="shared" si="4"/>
        <v>0.39648455203198013</v>
      </c>
      <c r="J19" s="16">
        <f t="shared" si="4"/>
        <v>0.39648455203198013</v>
      </c>
      <c r="K19" s="16">
        <f t="shared" si="4"/>
        <v>0.39648455203198013</v>
      </c>
      <c r="L19" s="16">
        <f t="shared" si="4"/>
        <v>0.39648455203198013</v>
      </c>
      <c r="M19" s="16">
        <f t="shared" si="4"/>
        <v>0.39648455203198013</v>
      </c>
      <c r="N19" s="16">
        <f t="shared" si="4"/>
        <v>0.39648455203198013</v>
      </c>
      <c r="O19" s="16">
        <f t="shared" si="4"/>
        <v>0.39648455203198013</v>
      </c>
      <c r="P19" s="16">
        <f t="shared" si="4"/>
        <v>0.39648455203198013</v>
      </c>
      <c r="Q19" s="16">
        <f t="shared" si="4"/>
        <v>0.39648455203198013</v>
      </c>
      <c r="R19" s="11">
        <f t="shared" si="4"/>
        <v>0.39648455203198013</v>
      </c>
    </row>
    <row r="20" spans="1:18" ht="15" thickBot="1">
      <c r="E20" s="10" t="s">
        <v>97</v>
      </c>
      <c r="F20" s="21">
        <f t="shared" ref="F20:R20" si="5">F3</f>
        <v>0</v>
      </c>
      <c r="G20" s="21">
        <f t="shared" si="5"/>
        <v>8.093207028119323E-2</v>
      </c>
      <c r="H20" s="21">
        <f t="shared" si="5"/>
        <v>0.16186414056238646</v>
      </c>
      <c r="I20" s="21">
        <f t="shared" si="5"/>
        <v>0.24279621084357969</v>
      </c>
      <c r="J20" s="21">
        <f t="shared" si="5"/>
        <v>0.32372828112477292</v>
      </c>
      <c r="K20" s="21">
        <f t="shared" si="5"/>
        <v>0.40466035140596612</v>
      </c>
      <c r="L20" s="21">
        <f t="shared" si="5"/>
        <v>0.48559242168715933</v>
      </c>
      <c r="M20" s="21">
        <f t="shared" si="5"/>
        <v>0.56652449196835253</v>
      </c>
      <c r="N20" s="21">
        <f t="shared" si="5"/>
        <v>0.64745656224954573</v>
      </c>
      <c r="O20" s="21">
        <f t="shared" si="5"/>
        <v>0.72838863253073893</v>
      </c>
      <c r="P20" s="21">
        <f t="shared" si="5"/>
        <v>0.80932070281193214</v>
      </c>
      <c r="Q20" s="21">
        <f t="shared" si="5"/>
        <v>0.89025277309312534</v>
      </c>
      <c r="R20" s="22">
        <f t="shared" si="5"/>
        <v>0.97118484337431854</v>
      </c>
    </row>
    <row r="21" spans="1:18">
      <c r="A21" s="44" t="s">
        <v>125</v>
      </c>
      <c r="B21" s="55">
        <v>1</v>
      </c>
      <c r="E21" s="10" t="s">
        <v>92</v>
      </c>
      <c r="F21" s="16">
        <f>F20/(0.5*F16)</f>
        <v>0</v>
      </c>
      <c r="G21" s="16">
        <f t="shared" ref="G21:R21" si="6">G20/(0.5*G16)</f>
        <v>8.3333333333333356E-2</v>
      </c>
      <c r="H21" s="16">
        <f t="shared" si="6"/>
        <v>0.16666666666666671</v>
      </c>
      <c r="I21" s="16">
        <f t="shared" si="6"/>
        <v>0.25000000000000006</v>
      </c>
      <c r="J21" s="16">
        <f t="shared" si="6"/>
        <v>0.33333333333333343</v>
      </c>
      <c r="K21" s="16">
        <f t="shared" si="6"/>
        <v>0.41666666666666674</v>
      </c>
      <c r="L21" s="16">
        <f t="shared" si="6"/>
        <v>0.50000000000000011</v>
      </c>
      <c r="M21" s="16">
        <f t="shared" si="6"/>
        <v>0.58333333333333337</v>
      </c>
      <c r="N21" s="16">
        <f t="shared" si="6"/>
        <v>0.66666666666666674</v>
      </c>
      <c r="O21" s="16">
        <f t="shared" si="6"/>
        <v>0.75</v>
      </c>
      <c r="P21" s="16">
        <f t="shared" si="6"/>
        <v>0.83333333333333337</v>
      </c>
      <c r="Q21" s="16">
        <f t="shared" si="6"/>
        <v>0.91666666666666663</v>
      </c>
      <c r="R21" s="11">
        <f t="shared" si="6"/>
        <v>1</v>
      </c>
    </row>
    <row r="22" spans="1:18" ht="15" thickBot="1">
      <c r="A22" s="12" t="s">
        <v>124</v>
      </c>
      <c r="B22" s="57">
        <f>F4</f>
        <v>10.597140502125534</v>
      </c>
      <c r="E22" s="45" t="s">
        <v>93</v>
      </c>
      <c r="F22" s="16">
        <f>B10</f>
        <v>0.1</v>
      </c>
      <c r="G22" s="16">
        <f>F22</f>
        <v>0.1</v>
      </c>
      <c r="H22" s="16">
        <f t="shared" ref="H22:R22" si="7">G22</f>
        <v>0.1</v>
      </c>
      <c r="I22" s="16">
        <f t="shared" si="7"/>
        <v>0.1</v>
      </c>
      <c r="J22" s="16">
        <f t="shared" si="7"/>
        <v>0.1</v>
      </c>
      <c r="K22" s="16">
        <f t="shared" si="7"/>
        <v>0.1</v>
      </c>
      <c r="L22" s="16">
        <f t="shared" si="7"/>
        <v>0.1</v>
      </c>
      <c r="M22" s="16">
        <f t="shared" si="7"/>
        <v>0.1</v>
      </c>
      <c r="N22" s="16">
        <f t="shared" si="7"/>
        <v>0.1</v>
      </c>
      <c r="O22" s="16">
        <f t="shared" si="7"/>
        <v>0.1</v>
      </c>
      <c r="P22" s="16">
        <f t="shared" si="7"/>
        <v>0.1</v>
      </c>
      <c r="Q22" s="16">
        <f t="shared" si="7"/>
        <v>0.1</v>
      </c>
      <c r="R22" s="11">
        <f t="shared" si="7"/>
        <v>0.1</v>
      </c>
    </row>
    <row r="23" spans="1:18" ht="15" thickBot="1">
      <c r="E23" s="10" t="s">
        <v>94</v>
      </c>
      <c r="F23" s="16">
        <f>F15*9.81*SQRT((1-0.5*F18)/(1-F18/4)^3)/(3.14*F19*F13*F14)</f>
        <v>2.3589209288443485</v>
      </c>
      <c r="G23" s="16">
        <f t="shared" ref="G23:R23" si="8">G15*9.81*SQRT((1-0.5*G18)/(1-G18/4)^3)/(3.14*G19*G13*G14)</f>
        <v>2.3589209288443485</v>
      </c>
      <c r="H23" s="16">
        <f t="shared" si="8"/>
        <v>2.3589209288443485</v>
      </c>
      <c r="I23" s="16">
        <f t="shared" si="8"/>
        <v>2.3589209288443485</v>
      </c>
      <c r="J23" s="16">
        <f t="shared" si="8"/>
        <v>2.3589209288443485</v>
      </c>
      <c r="K23" s="16">
        <f t="shared" si="8"/>
        <v>2.3589209288443485</v>
      </c>
      <c r="L23" s="16">
        <f t="shared" si="8"/>
        <v>2.3589209288443485</v>
      </c>
      <c r="M23" s="16">
        <f t="shared" si="8"/>
        <v>2.3589209288443485</v>
      </c>
      <c r="N23" s="16">
        <f t="shared" si="8"/>
        <v>2.3589209288443485</v>
      </c>
      <c r="O23" s="16">
        <f t="shared" si="8"/>
        <v>2.3589209288443485</v>
      </c>
      <c r="P23" s="16">
        <f t="shared" si="8"/>
        <v>2.3589209288443485</v>
      </c>
      <c r="Q23" s="16">
        <f t="shared" si="8"/>
        <v>2.3589209288443485</v>
      </c>
      <c r="R23" s="11">
        <f t="shared" si="8"/>
        <v>2.3589209288443485</v>
      </c>
    </row>
    <row r="24" spans="1:18">
      <c r="A24" s="44" t="s">
        <v>128</v>
      </c>
      <c r="B24" s="55">
        <v>0.1</v>
      </c>
      <c r="E24" s="10" t="s">
        <v>81</v>
      </c>
      <c r="F24" s="16">
        <f>F23*(1-F18*F21^2)*SQRT(1-F21^2)</f>
        <v>2.3589209288443485</v>
      </c>
      <c r="G24" s="16">
        <f t="shared" ref="G24:R24" si="9">G23*(1-G18*G21^2)*SQRT(1-G21^2)</f>
        <v>2.3343915452231432</v>
      </c>
      <c r="H24" s="16">
        <f t="shared" si="9"/>
        <v>2.2613183083209796</v>
      </c>
      <c r="I24" s="16">
        <f t="shared" si="9"/>
        <v>2.1412644076017875</v>
      </c>
      <c r="J24" s="16">
        <f t="shared" si="9"/>
        <v>1.9768995378592098</v>
      </c>
      <c r="K24" s="16">
        <f t="shared" si="9"/>
        <v>1.7721075974307272</v>
      </c>
      <c r="L24" s="16">
        <f t="shared" si="9"/>
        <v>1.5321640874234921</v>
      </c>
      <c r="M24" s="16">
        <f t="shared" si="9"/>
        <v>1.2640232239962974</v>
      </c>
      <c r="N24" s="16">
        <f t="shared" si="9"/>
        <v>0.97679769452646403</v>
      </c>
      <c r="O24" s="16">
        <f t="shared" si="9"/>
        <v>0.68262229658302276</v>
      </c>
      <c r="P24" s="16">
        <f t="shared" si="9"/>
        <v>0.39842690713901319</v>
      </c>
      <c r="Q24" s="16">
        <f t="shared" si="9"/>
        <v>0.15057795664683954</v>
      </c>
      <c r="R24" s="11">
        <f t="shared" si="9"/>
        <v>0</v>
      </c>
    </row>
    <row r="25" spans="1:18" ht="15" thickBot="1">
      <c r="A25" s="12" t="s">
        <v>129</v>
      </c>
      <c r="B25" s="57">
        <f>F6</f>
        <v>33.511100671537093</v>
      </c>
      <c r="E25" s="10" t="s">
        <v>95</v>
      </c>
      <c r="F25" s="16">
        <f>-F23*(1+0.5*F18-3*F18*F21^2)/(2*F16)</f>
        <v>-0.91084138550099458</v>
      </c>
      <c r="G25" s="16">
        <f t="shared" ref="G25:R25" si="10">-G23*(1+0.5*G18-3*G18*G21^2)/(2*G16)</f>
        <v>-0.89819081070236972</v>
      </c>
      <c r="H25" s="16">
        <f t="shared" si="10"/>
        <v>-0.86023908630649482</v>
      </c>
      <c r="I25" s="16">
        <f t="shared" si="10"/>
        <v>-0.79698621231337019</v>
      </c>
      <c r="J25" s="16">
        <f t="shared" si="10"/>
        <v>-0.70843218872299574</v>
      </c>
      <c r="K25" s="16">
        <f t="shared" si="10"/>
        <v>-0.59457701553537134</v>
      </c>
      <c r="L25" s="16">
        <f t="shared" si="10"/>
        <v>-0.45542069275049701</v>
      </c>
      <c r="M25" s="16">
        <f t="shared" si="10"/>
        <v>-0.29096322036837313</v>
      </c>
      <c r="N25" s="16">
        <f t="shared" si="10"/>
        <v>-0.1012045983889993</v>
      </c>
      <c r="O25" s="16">
        <f t="shared" si="10"/>
        <v>0.11385517318762432</v>
      </c>
      <c r="P25" s="16">
        <f t="shared" si="10"/>
        <v>0.35421609436149798</v>
      </c>
      <c r="Q25" s="16">
        <f t="shared" si="10"/>
        <v>0.61987816513262106</v>
      </c>
      <c r="R25" s="11">
        <f t="shared" si="10"/>
        <v>0.91084138550099458</v>
      </c>
    </row>
    <row r="26" spans="1:18" ht="15" thickBot="1">
      <c r="E26" s="10" t="s">
        <v>98</v>
      </c>
      <c r="F26" s="16">
        <f>ATAN(-F25/F14)</f>
        <v>6.0702304758243446E-2</v>
      </c>
      <c r="G26" s="16">
        <f t="shared" ref="G26:R26" si="11">ATAN(-G25/G14)</f>
        <v>5.9861243930034204E-2</v>
      </c>
      <c r="H26" s="16">
        <f t="shared" si="11"/>
        <v>5.7337557359447268E-2</v>
      </c>
      <c r="I26" s="16">
        <f t="shared" si="11"/>
        <v>5.3129803529340387E-2</v>
      </c>
      <c r="J26" s="16">
        <f t="shared" si="11"/>
        <v>4.7235816275039144E-2</v>
      </c>
      <c r="K26" s="16">
        <f t="shared" si="11"/>
        <v>3.9653061146209659E-2</v>
      </c>
      <c r="L26" s="16">
        <f t="shared" si="11"/>
        <v>3.0379137404818925E-2</v>
      </c>
      <c r="M26" s="16">
        <f t="shared" si="11"/>
        <v>1.941242747517943E-2</v>
      </c>
      <c r="N26" s="16">
        <f t="shared" si="11"/>
        <v>6.7528943306328611E-3</v>
      </c>
      <c r="O26" s="16">
        <f t="shared" si="11"/>
        <v>-7.5969754484884102E-3</v>
      </c>
      <c r="P26" s="16">
        <f t="shared" si="11"/>
        <v>-2.3631089690229045E-2</v>
      </c>
      <c r="Q26" s="16">
        <f t="shared" si="11"/>
        <v>-4.133854292652743E-2</v>
      </c>
      <c r="R26" s="11">
        <f t="shared" si="11"/>
        <v>-6.0702304758243446E-2</v>
      </c>
    </row>
    <row r="27" spans="1:18" ht="15" thickBot="1">
      <c r="A27" s="64" t="s">
        <v>173</v>
      </c>
      <c r="E27" s="10" t="s">
        <v>99</v>
      </c>
      <c r="F27" s="16">
        <f>F26*180/3.14</f>
        <v>3.4797499542942103</v>
      </c>
      <c r="G27" s="16">
        <f t="shared" ref="G27:R27" si="12">G26*180/3.14</f>
        <v>3.4315362762439987</v>
      </c>
      <c r="H27" s="16">
        <f t="shared" si="12"/>
        <v>3.2868663454460214</v>
      </c>
      <c r="I27" s="16">
        <f t="shared" si="12"/>
        <v>3.0456575271596398</v>
      </c>
      <c r="J27" s="16">
        <f t="shared" si="12"/>
        <v>2.7077856463398238</v>
      </c>
      <c r="K27" s="16">
        <f t="shared" si="12"/>
        <v>2.2731054160247575</v>
      </c>
      <c r="L27" s="16">
        <f t="shared" si="12"/>
        <v>1.7414792142889828</v>
      </c>
      <c r="M27" s="16">
        <f t="shared" si="12"/>
        <v>1.1128143138637889</v>
      </c>
      <c r="N27" s="16">
        <f t="shared" si="12"/>
        <v>0.38710859220188376</v>
      </c>
      <c r="O27" s="16">
        <f t="shared" si="12"/>
        <v>-0.4354954078751318</v>
      </c>
      <c r="P27" s="16">
        <f t="shared" si="12"/>
        <v>-1.3546484535800087</v>
      </c>
      <c r="Q27" s="16">
        <f t="shared" si="12"/>
        <v>-2.369725390692655</v>
      </c>
      <c r="R27" s="11">
        <f t="shared" si="12"/>
        <v>-3.4797499542942103</v>
      </c>
    </row>
    <row r="28" spans="1:18">
      <c r="A28" s="44" t="s">
        <v>169</v>
      </c>
      <c r="B28" s="42">
        <f ca="1">F30</f>
        <v>-10.823024685669845</v>
      </c>
      <c r="E28" s="10"/>
      <c r="F28" s="16"/>
      <c r="G28" s="16"/>
      <c r="H28" s="16"/>
      <c r="I28" s="16"/>
      <c r="J28" s="16"/>
      <c r="K28" s="16"/>
      <c r="L28" s="16"/>
      <c r="M28" s="16"/>
      <c r="N28" s="16"/>
      <c r="O28" s="16"/>
      <c r="P28" s="16"/>
      <c r="Q28" s="16"/>
      <c r="R28" s="11"/>
    </row>
    <row r="29" spans="1:18" ht="15" thickBot="1">
      <c r="A29" s="12" t="s">
        <v>170</v>
      </c>
      <c r="B29" s="43">
        <f ca="1">F31</f>
        <v>-11.783024685669844</v>
      </c>
      <c r="E29" s="10"/>
      <c r="F29" s="16"/>
      <c r="G29" s="16"/>
      <c r="H29" s="16"/>
      <c r="I29" s="16"/>
      <c r="J29" s="16"/>
      <c r="K29" s="16"/>
      <c r="L29" s="16"/>
      <c r="M29" s="16"/>
      <c r="N29" s="16"/>
      <c r="O29" s="16"/>
      <c r="P29" s="16"/>
      <c r="Q29" s="16"/>
      <c r="R29" s="11"/>
    </row>
    <row r="30" spans="1:18">
      <c r="E30" s="10" t="s">
        <v>109</v>
      </c>
      <c r="F30" s="16">
        <f ca="1">-(F46-R46)</f>
        <v>-10.823024685669845</v>
      </c>
      <c r="G30" s="16"/>
      <c r="H30" s="16"/>
      <c r="I30" s="16"/>
      <c r="J30" s="16"/>
      <c r="K30" s="16"/>
      <c r="L30" s="16"/>
      <c r="M30" s="16"/>
      <c r="N30" s="16"/>
      <c r="O30" s="16"/>
      <c r="P30" s="16"/>
      <c r="Q30" s="16"/>
      <c r="R30" s="11"/>
    </row>
    <row r="31" spans="1:18">
      <c r="E31" s="10" t="s">
        <v>110</v>
      </c>
      <c r="F31" s="16">
        <f ca="1">-(F48-R48)</f>
        <v>-11.783024685669844</v>
      </c>
      <c r="G31" s="16"/>
      <c r="H31" s="16"/>
      <c r="I31" s="16"/>
      <c r="J31" s="16"/>
      <c r="K31" s="16"/>
      <c r="L31" s="16"/>
      <c r="M31" s="16"/>
      <c r="N31" s="16"/>
      <c r="O31" s="16"/>
      <c r="P31" s="16"/>
      <c r="Q31" s="16"/>
      <c r="R31" s="11"/>
    </row>
    <row r="32" spans="1:18">
      <c r="E32" s="10"/>
      <c r="F32" s="16"/>
      <c r="G32" s="16"/>
      <c r="H32" s="16"/>
      <c r="I32" s="16"/>
      <c r="J32" s="16"/>
      <c r="K32" s="16"/>
      <c r="L32" s="16"/>
      <c r="M32" s="16"/>
      <c r="N32" s="16"/>
      <c r="O32" s="16"/>
      <c r="P32" s="16"/>
      <c r="Q32" s="16"/>
      <c r="R32" s="11"/>
    </row>
    <row r="33" spans="5:18">
      <c r="E33" s="10" t="s">
        <v>135</v>
      </c>
      <c r="F33" s="16">
        <f ca="1">3*3.14*(F44)*F45*F16/(16*F34)</f>
        <v>0.49999999999999989</v>
      </c>
      <c r="G33" s="16">
        <f>B13</f>
        <v>0.5</v>
      </c>
      <c r="H33" s="16"/>
      <c r="I33" s="16"/>
      <c r="J33" s="16"/>
      <c r="K33" s="16"/>
      <c r="L33" s="16"/>
      <c r="M33" s="16"/>
      <c r="N33" s="16"/>
      <c r="O33" s="16"/>
      <c r="P33" s="16"/>
      <c r="Q33" s="16"/>
      <c r="R33" s="11"/>
    </row>
    <row r="34" spans="5:18">
      <c r="E34" s="10" t="s">
        <v>82</v>
      </c>
      <c r="F34" s="16">
        <f>'Planform Geometry'!B7</f>
        <v>0.72</v>
      </c>
      <c r="G34" s="16"/>
      <c r="H34" s="16"/>
      <c r="I34" s="16"/>
      <c r="J34" s="16"/>
      <c r="K34" s="16"/>
      <c r="L34" s="16"/>
      <c r="M34" s="16"/>
      <c r="N34" s="16"/>
      <c r="O34" s="16"/>
      <c r="P34" s="16"/>
      <c r="Q34" s="16"/>
      <c r="R34" s="11"/>
    </row>
    <row r="35" spans="5:18" ht="15" thickBot="1">
      <c r="E35" s="12" t="s">
        <v>78</v>
      </c>
      <c r="F35" s="25">
        <f>(2*F15*9.81/(G33*F13*F34))^0.5</f>
        <v>14.986619820479161</v>
      </c>
      <c r="G35" s="25"/>
      <c r="H35" s="25"/>
      <c r="I35" s="25"/>
      <c r="J35" s="25"/>
      <c r="K35" s="25"/>
      <c r="L35" s="25"/>
      <c r="M35" s="25"/>
      <c r="N35" s="25"/>
      <c r="O35" s="25"/>
      <c r="P35" s="25"/>
      <c r="Q35" s="25"/>
      <c r="R35" s="13"/>
    </row>
    <row r="41" spans="5:18" ht="12.75" customHeight="1"/>
    <row r="43" spans="5:18" ht="15" thickBot="1">
      <c r="E43" s="6" t="s">
        <v>167</v>
      </c>
      <c r="F43" s="6" t="s">
        <v>4</v>
      </c>
      <c r="G43" s="6">
        <v>2</v>
      </c>
      <c r="H43" s="6">
        <v>3</v>
      </c>
      <c r="I43" s="6">
        <v>4</v>
      </c>
      <c r="J43" s="6">
        <v>5</v>
      </c>
      <c r="K43" s="6">
        <v>6</v>
      </c>
      <c r="L43" s="6">
        <v>7</v>
      </c>
      <c r="M43" s="6">
        <v>8</v>
      </c>
      <c r="N43" s="6">
        <v>9</v>
      </c>
      <c r="O43" s="6">
        <v>10</v>
      </c>
      <c r="P43" s="6">
        <v>11</v>
      </c>
      <c r="Q43" s="6">
        <v>12</v>
      </c>
      <c r="R43" s="6" t="s">
        <v>3</v>
      </c>
    </row>
    <row r="44" spans="5:18">
      <c r="E44" t="s">
        <v>64</v>
      </c>
      <c r="F44" s="44">
        <f t="shared" ref="F44:R44" ca="1" si="13">F2</f>
        <v>0.78825650673663228</v>
      </c>
      <c r="G44" s="15">
        <f t="shared" ca="1" si="13"/>
        <v>0.65165325711649091</v>
      </c>
      <c r="H44" s="15">
        <f t="shared" ca="1" si="13"/>
        <v>0.55529000879422674</v>
      </c>
      <c r="I44" s="15">
        <f t="shared" ca="1" si="13"/>
        <v>0.4881126830176839</v>
      </c>
      <c r="J44" s="15">
        <f t="shared" ca="1" si="13"/>
        <v>0.4486998576808523</v>
      </c>
      <c r="K44" s="15">
        <f t="shared" ca="1" si="13"/>
        <v>0.40928703234402064</v>
      </c>
      <c r="L44" s="15">
        <f t="shared" ca="1" si="13"/>
        <v>0.36987420700718898</v>
      </c>
      <c r="M44" s="15">
        <f t="shared" ca="1" si="13"/>
        <v>0.33046138167035732</v>
      </c>
      <c r="N44" s="15">
        <f t="shared" ca="1" si="13"/>
        <v>0.29104855633352572</v>
      </c>
      <c r="O44" s="15">
        <f t="shared" ca="1" si="13"/>
        <v>0.25163573099669406</v>
      </c>
      <c r="P44" s="15">
        <f t="shared" ca="1" si="13"/>
        <v>0.21222290565986257</v>
      </c>
      <c r="Q44" s="15">
        <f t="shared" ca="1" si="13"/>
        <v>0.1728100803230308</v>
      </c>
      <c r="R44" s="9">
        <f t="shared" ca="1" si="13"/>
        <v>0.13339725498619937</v>
      </c>
    </row>
    <row r="45" spans="5:18">
      <c r="E45" t="s">
        <v>134</v>
      </c>
      <c r="F45" s="10">
        <f t="shared" ref="F45:R45" ca="1" si="14">2*F24/(F44*F14)</f>
        <v>0.41676205113846004</v>
      </c>
      <c r="G45" s="16">
        <f t="shared" ca="1" si="14"/>
        <v>0.49888388885740026</v>
      </c>
      <c r="H45" s="16">
        <f t="shared" ca="1" si="14"/>
        <v>0.56713204495047498</v>
      </c>
      <c r="I45" s="16">
        <f t="shared" ca="1" si="14"/>
        <v>0.610931549419929</v>
      </c>
      <c r="J45" s="16">
        <f t="shared" ca="1" si="14"/>
        <v>0.6135797465490862</v>
      </c>
      <c r="K45" s="16">
        <f t="shared" ca="1" si="14"/>
        <v>0.60298214200634648</v>
      </c>
      <c r="L45" s="16">
        <f t="shared" ca="1" si="14"/>
        <v>0.57689075496513986</v>
      </c>
      <c r="M45" s="16">
        <f t="shared" ca="1" si="14"/>
        <v>0.53269262804872242</v>
      </c>
      <c r="N45" s="16">
        <f t="shared" ca="1" si="14"/>
        <v>0.46739226845069137</v>
      </c>
      <c r="O45" s="16">
        <f t="shared" ca="1" si="14"/>
        <v>0.37779004379269904</v>
      </c>
      <c r="P45" s="16">
        <f t="shared" ca="1" si="14"/>
        <v>0.26145608349124455</v>
      </c>
      <c r="Q45" s="16">
        <f t="shared" ca="1" si="14"/>
        <v>0.1213485733813592</v>
      </c>
      <c r="R45" s="11">
        <f t="shared" ca="1" si="14"/>
        <v>0</v>
      </c>
    </row>
    <row r="46" spans="5:18">
      <c r="E46" t="s">
        <v>108</v>
      </c>
      <c r="F46" s="10">
        <f t="shared" ref="F46:R46" ca="1" si="15">F45/F22+F27</f>
        <v>7.4953225985272223</v>
      </c>
      <c r="G46" s="16">
        <f t="shared" ca="1" si="15"/>
        <v>8.2704245054530681</v>
      </c>
      <c r="H46" s="16">
        <f t="shared" ca="1" si="15"/>
        <v>8.8145313765185396</v>
      </c>
      <c r="I46" s="16">
        <f t="shared" ca="1" si="15"/>
        <v>9.0218212260385755</v>
      </c>
      <c r="J46" s="16">
        <f t="shared" ca="1" si="15"/>
        <v>8.7251588848170663</v>
      </c>
      <c r="K46" s="16">
        <f t="shared" ca="1" si="15"/>
        <v>8.2034723507248213</v>
      </c>
      <c r="L46" s="16">
        <f t="shared" ca="1" si="15"/>
        <v>7.4341614830261848</v>
      </c>
      <c r="M46" s="16">
        <f t="shared" ca="1" si="15"/>
        <v>6.3910156517542562</v>
      </c>
      <c r="N46" s="16">
        <f t="shared" ca="1" si="15"/>
        <v>5.0440780977776516</v>
      </c>
      <c r="O46" s="16">
        <f t="shared" ca="1" si="15"/>
        <v>3.3614771353033586</v>
      </c>
      <c r="P46" s="16">
        <f t="shared" ca="1" si="15"/>
        <v>1.3192193954875977</v>
      </c>
      <c r="Q46" s="16">
        <f t="shared" ca="1" si="15"/>
        <v>-1.0525666166110275</v>
      </c>
      <c r="R46" s="11">
        <f t="shared" ca="1" si="15"/>
        <v>-3.3277020871426224</v>
      </c>
    </row>
    <row r="47" spans="5:18">
      <c r="E47" t="s">
        <v>185</v>
      </c>
      <c r="F47" s="10">
        <f>B8</f>
        <v>-0.9</v>
      </c>
      <c r="G47" s="16">
        <f t="shared" ref="G47" si="16">F47*(1-G21*1)</f>
        <v>-0.82499999999999996</v>
      </c>
      <c r="H47" s="16">
        <f>F47*(1-H21*1)</f>
        <v>-0.75</v>
      </c>
      <c r="I47" s="16">
        <f>F47*(1-I21*1)</f>
        <v>-0.67500000000000004</v>
      </c>
      <c r="J47" s="16">
        <f>F47*(1-J21*1)</f>
        <v>-0.59999999999999987</v>
      </c>
      <c r="K47" s="16">
        <f>F47*(1-K21*1)</f>
        <v>-0.52499999999999991</v>
      </c>
      <c r="L47" s="16">
        <f>F47*(1-L21*1)</f>
        <v>-0.4499999999999999</v>
      </c>
      <c r="M47" s="16">
        <f>F47*(1-M21*1)</f>
        <v>-0.375</v>
      </c>
      <c r="N47" s="16">
        <f>F47*(1-N21*1)</f>
        <v>-0.29999999999999993</v>
      </c>
      <c r="O47" s="16">
        <f>F47*(1-O21*1)</f>
        <v>-0.22500000000000001</v>
      </c>
      <c r="P47" s="16">
        <f>F47*(1-P21*1)</f>
        <v>-0.14999999999999997</v>
      </c>
      <c r="Q47" s="16">
        <f>F47*(1-Q21*1)</f>
        <v>-7.5000000000000039E-2</v>
      </c>
      <c r="R47" s="11">
        <f>B9</f>
        <v>-1.86</v>
      </c>
    </row>
    <row r="48" spans="5:18" ht="15" thickBot="1">
      <c r="E48" s="6" t="s">
        <v>100</v>
      </c>
      <c r="F48" s="31">
        <f t="shared" ref="F48:R48" ca="1" si="17">F46+F47</f>
        <v>6.5953225985272219</v>
      </c>
      <c r="G48" s="32">
        <f t="shared" ca="1" si="17"/>
        <v>7.4454245054530679</v>
      </c>
      <c r="H48" s="32">
        <f t="shared" ca="1" si="17"/>
        <v>8.0645313765185396</v>
      </c>
      <c r="I48" s="32">
        <f t="shared" ca="1" si="17"/>
        <v>8.3468212260385748</v>
      </c>
      <c r="J48" s="32">
        <f t="shared" ca="1" si="17"/>
        <v>8.1251588848170666</v>
      </c>
      <c r="K48" s="32">
        <f t="shared" ca="1" si="17"/>
        <v>7.6784723507248209</v>
      </c>
      <c r="L48" s="32">
        <f t="shared" ca="1" si="17"/>
        <v>6.9841614830261847</v>
      </c>
      <c r="M48" s="32">
        <f t="shared" ca="1" si="17"/>
        <v>6.0160156517542562</v>
      </c>
      <c r="N48" s="32">
        <f t="shared" ca="1" si="17"/>
        <v>4.7440780977776518</v>
      </c>
      <c r="O48" s="32">
        <f t="shared" ca="1" si="17"/>
        <v>3.1364771353033585</v>
      </c>
      <c r="P48" s="32">
        <f t="shared" ca="1" si="17"/>
        <v>1.1692193954875978</v>
      </c>
      <c r="Q48" s="32">
        <f t="shared" ca="1" si="17"/>
        <v>-1.1275666166110274</v>
      </c>
      <c r="R48" s="33">
        <f t="shared" ca="1" si="17"/>
        <v>-5.1877020871426227</v>
      </c>
    </row>
    <row r="50" spans="5:18" ht="15" thickBot="1">
      <c r="E50" s="6" t="s">
        <v>168</v>
      </c>
    </row>
    <row r="51" spans="5:18">
      <c r="E51" t="s">
        <v>85</v>
      </c>
      <c r="F51" s="44">
        <f t="shared" ref="F51:R51" ca="1" si="18">F8*F2*F4/0.0000185/1000000</f>
        <v>0.51333748255817857</v>
      </c>
      <c r="G51" s="15">
        <f t="shared" ca="1" si="18"/>
        <v>0.42437714075322464</v>
      </c>
      <c r="H51" s="15">
        <f t="shared" ca="1" si="18"/>
        <v>0.36162235613410143</v>
      </c>
      <c r="I51" s="15">
        <f t="shared" ca="1" si="18"/>
        <v>0.31787436419948756</v>
      </c>
      <c r="J51" s="15">
        <f t="shared" ca="1" si="18"/>
        <v>0.29220749007157859</v>
      </c>
      <c r="K51" s="15">
        <f t="shared" ca="1" si="18"/>
        <v>0.26654061594366962</v>
      </c>
      <c r="L51" s="15">
        <f t="shared" ca="1" si="18"/>
        <v>0.24087374181576074</v>
      </c>
      <c r="M51" s="15">
        <f t="shared" ca="1" si="18"/>
        <v>0.21520686768785174</v>
      </c>
      <c r="N51" s="15">
        <f t="shared" ca="1" si="18"/>
        <v>0.1895399935599428</v>
      </c>
      <c r="O51" s="15">
        <f t="shared" ca="1" si="18"/>
        <v>0.16387311943203389</v>
      </c>
      <c r="P51" s="15">
        <f t="shared" ca="1" si="18"/>
        <v>0.13820624530412501</v>
      </c>
      <c r="Q51" s="15">
        <f t="shared" ca="1" si="18"/>
        <v>0.11253937117621599</v>
      </c>
      <c r="R51" s="9">
        <f t="shared" ca="1" si="18"/>
        <v>8.6872497048307185E-2</v>
      </c>
    </row>
    <row r="52" spans="5:18">
      <c r="E52" t="s">
        <v>86</v>
      </c>
      <c r="F52" s="10">
        <f t="shared" ref="F52:R52" ca="1" si="19">F8*F2*F5/0.0000185/1000000</f>
        <v>0.75736797867848848</v>
      </c>
      <c r="G52" s="16">
        <f t="shared" ca="1" si="19"/>
        <v>0.62611764815595661</v>
      </c>
      <c r="H52" s="16">
        <f t="shared" ca="1" si="19"/>
        <v>0.53353047890711336</v>
      </c>
      <c r="I52" s="16">
        <f t="shared" ca="1" si="19"/>
        <v>0.46898555602783343</v>
      </c>
      <c r="J52" s="16">
        <f t="shared" ca="1" si="19"/>
        <v>0.43111715709390896</v>
      </c>
      <c r="K52" s="16">
        <f t="shared" ca="1" si="19"/>
        <v>0.3932487581599845</v>
      </c>
      <c r="L52" s="16">
        <f t="shared" ca="1" si="19"/>
        <v>0.35538035922606004</v>
      </c>
      <c r="M52" s="16">
        <f t="shared" ca="1" si="19"/>
        <v>0.31751196029213552</v>
      </c>
      <c r="N52" s="16">
        <f t="shared" ca="1" si="19"/>
        <v>0.27964356135821117</v>
      </c>
      <c r="O52" s="16">
        <f t="shared" ca="1" si="19"/>
        <v>0.24177516242428668</v>
      </c>
      <c r="P52" s="16">
        <f t="shared" ca="1" si="19"/>
        <v>0.20390676349036235</v>
      </c>
      <c r="Q52" s="16">
        <f t="shared" ca="1" si="19"/>
        <v>0.16603836455643778</v>
      </c>
      <c r="R52" s="11">
        <f t="shared" ca="1" si="19"/>
        <v>0.12816996562251351</v>
      </c>
    </row>
    <row r="53" spans="5:18" ht="15" thickBot="1">
      <c r="E53" t="s">
        <v>87</v>
      </c>
      <c r="F53" s="12">
        <f t="shared" ref="F53:R53" ca="1" si="20">F8*F2*F6/0.0000185/1000000</f>
        <v>1.6233156532208033</v>
      </c>
      <c r="G53" s="25">
        <f t="shared" ca="1" si="20"/>
        <v>1.3419983516900542</v>
      </c>
      <c r="H53" s="25">
        <f t="shared" ca="1" si="20"/>
        <v>1.1435502982203229</v>
      </c>
      <c r="I53" s="25">
        <f t="shared" ca="1" si="20"/>
        <v>1.0052070006482667</v>
      </c>
      <c r="J53" s="25">
        <f t="shared" ca="1" si="20"/>
        <v>0.92404121798722672</v>
      </c>
      <c r="K53" s="25">
        <f t="shared" ca="1" si="20"/>
        <v>0.84287543532618636</v>
      </c>
      <c r="L53" s="25">
        <f t="shared" ca="1" si="20"/>
        <v>0.76170965266514612</v>
      </c>
      <c r="M53" s="25">
        <f t="shared" ca="1" si="20"/>
        <v>0.68054387000410599</v>
      </c>
      <c r="N53" s="25">
        <f t="shared" ca="1" si="20"/>
        <v>0.59937808734306575</v>
      </c>
      <c r="O53" s="25">
        <f t="shared" ca="1" si="20"/>
        <v>0.5182123046820255</v>
      </c>
      <c r="P53" s="25">
        <f t="shared" ca="1" si="20"/>
        <v>0.43704652202098554</v>
      </c>
      <c r="Q53" s="25">
        <f t="shared" ca="1" si="20"/>
        <v>0.35588073935994513</v>
      </c>
      <c r="R53" s="13">
        <f t="shared" ca="1" si="20"/>
        <v>0.27471495669890528</v>
      </c>
    </row>
    <row r="70" spans="5:18">
      <c r="E70" t="s">
        <v>64</v>
      </c>
      <c r="F70">
        <f ca="1">'Planform Geometry'!G55-'Planform Geometry'!G46</f>
        <v>0.60635115902817871</v>
      </c>
      <c r="G70">
        <f ca="1">'Planform Geometry'!H55-'Planform Geometry'!H46</f>
        <v>0.56693833369134705</v>
      </c>
      <c r="H70">
        <f ca="1">'Planform Geometry'!I55-'Planform Geometry'!I46</f>
        <v>0.52752550835451539</v>
      </c>
      <c r="I70">
        <f ca="1">'Planform Geometry'!J55-'Planform Geometry'!J46</f>
        <v>0.4881126830176839</v>
      </c>
      <c r="J70">
        <f ca="1">'Planform Geometry'!K55-'Planform Geometry'!K46</f>
        <v>0.4486998576808523</v>
      </c>
      <c r="K70">
        <f ca="1">'Planform Geometry'!L55-'Planform Geometry'!L46</f>
        <v>0.40928703234402064</v>
      </c>
      <c r="L70">
        <f ca="1">'Planform Geometry'!M55-'Planform Geometry'!M46</f>
        <v>0.36987420700718898</v>
      </c>
      <c r="M70">
        <f ca="1">'Planform Geometry'!N55-'Planform Geometry'!N46</f>
        <v>0.33046138167035732</v>
      </c>
      <c r="N70">
        <f ca="1">'Planform Geometry'!O55-'Planform Geometry'!O46</f>
        <v>0.29104855633352572</v>
      </c>
      <c r="O70">
        <f ca="1">'Planform Geometry'!P55-'Planform Geometry'!P46</f>
        <v>0.25163573099669406</v>
      </c>
      <c r="P70">
        <f ca="1">'Planform Geometry'!Q55-'Planform Geometry'!Q46</f>
        <v>0.21222290565986257</v>
      </c>
      <c r="Q70">
        <f ca="1">'Planform Geometry'!R55-'Planform Geometry'!R46</f>
        <v>0.1728100803230308</v>
      </c>
      <c r="R70">
        <f ca="1">'Planform Geometry'!S55-'Planform Geometry'!S46</f>
        <v>0.13339725498619937</v>
      </c>
    </row>
    <row r="71" spans="5:18" ht="15" thickBot="1">
      <c r="E71" t="s">
        <v>61</v>
      </c>
      <c r="F71">
        <f t="shared" ref="F71:R71" si="21">F3</f>
        <v>0</v>
      </c>
      <c r="G71">
        <f t="shared" si="21"/>
        <v>8.093207028119323E-2</v>
      </c>
      <c r="H71">
        <f t="shared" si="21"/>
        <v>0.16186414056238646</v>
      </c>
      <c r="I71">
        <f t="shared" si="21"/>
        <v>0.24279621084357969</v>
      </c>
      <c r="J71">
        <f t="shared" si="21"/>
        <v>0.32372828112477292</v>
      </c>
      <c r="K71">
        <f t="shared" si="21"/>
        <v>0.40466035140596612</v>
      </c>
      <c r="L71">
        <f t="shared" si="21"/>
        <v>0.48559242168715933</v>
      </c>
      <c r="M71">
        <f t="shared" si="21"/>
        <v>0.56652449196835253</v>
      </c>
      <c r="N71">
        <f t="shared" si="21"/>
        <v>0.64745656224954573</v>
      </c>
      <c r="O71">
        <f t="shared" si="21"/>
        <v>0.72838863253073893</v>
      </c>
      <c r="P71">
        <f t="shared" si="21"/>
        <v>0.80932070281193214</v>
      </c>
      <c r="Q71">
        <f t="shared" si="21"/>
        <v>0.89025277309312534</v>
      </c>
      <c r="R71">
        <f t="shared" si="21"/>
        <v>0.97118484337431854</v>
      </c>
    </row>
    <row r="72" spans="5:18" ht="15" thickBot="1">
      <c r="E72" s="26" t="s">
        <v>77</v>
      </c>
      <c r="F72" s="15"/>
      <c r="G72" s="15"/>
      <c r="H72" s="15"/>
      <c r="I72" s="15"/>
      <c r="J72" s="15"/>
      <c r="K72" s="15"/>
      <c r="L72" s="15"/>
      <c r="M72" s="15"/>
      <c r="N72" s="15"/>
      <c r="O72" s="15"/>
      <c r="P72" s="15"/>
      <c r="Q72" s="15"/>
      <c r="R72" s="9"/>
    </row>
    <row r="73" spans="5:18">
      <c r="E73" s="10" t="s">
        <v>133</v>
      </c>
      <c r="F73" s="16">
        <f>F12</f>
        <v>100</v>
      </c>
      <c r="G73" s="16"/>
      <c r="H73" s="16"/>
      <c r="I73" s="16"/>
      <c r="J73" s="16"/>
      <c r="K73" s="16"/>
      <c r="L73" s="16"/>
      <c r="M73" s="16"/>
      <c r="N73" s="16"/>
      <c r="O73" s="16"/>
      <c r="P73" s="16"/>
      <c r="Q73" s="16"/>
      <c r="R73" s="11"/>
    </row>
    <row r="74" spans="5:18">
      <c r="E74" s="10" t="s">
        <v>89</v>
      </c>
      <c r="F74" s="16">
        <f>1.225*(1-F73/44300)^4.25588</f>
        <v>1.2132746567549688</v>
      </c>
      <c r="G74" s="16">
        <f>F74</f>
        <v>1.2132746567549688</v>
      </c>
      <c r="H74" s="16">
        <f t="shared" ref="H74:H78" si="22">G74</f>
        <v>1.2132746567549688</v>
      </c>
      <c r="I74" s="16">
        <f t="shared" ref="I74:I78" si="23">H74</f>
        <v>1.2132746567549688</v>
      </c>
      <c r="J74" s="16">
        <f t="shared" ref="J74:J78" si="24">I74</f>
        <v>1.2132746567549688</v>
      </c>
      <c r="K74" s="16">
        <f t="shared" ref="K74:K78" si="25">J74</f>
        <v>1.2132746567549688</v>
      </c>
      <c r="L74" s="16">
        <f t="shared" ref="L74:L78" si="26">K74</f>
        <v>1.2132746567549688</v>
      </c>
      <c r="M74" s="16">
        <f t="shared" ref="M74:M78" si="27">L74</f>
        <v>1.2132746567549688</v>
      </c>
      <c r="N74" s="16">
        <f t="shared" ref="N74:N78" si="28">M74</f>
        <v>1.2132746567549688</v>
      </c>
      <c r="O74" s="16">
        <f t="shared" ref="O74:O78" si="29">N74</f>
        <v>1.2132746567549688</v>
      </c>
      <c r="P74" s="16">
        <f t="shared" ref="P74:P78" si="30">O74</f>
        <v>1.2132746567549688</v>
      </c>
      <c r="Q74" s="16">
        <f t="shared" ref="Q74:Q78" si="31">P74</f>
        <v>1.2132746567549688</v>
      </c>
      <c r="R74" s="11">
        <f t="shared" ref="R74:R78" si="32">Q74</f>
        <v>1.2132746567549688</v>
      </c>
    </row>
    <row r="75" spans="5:18">
      <c r="E75" s="10" t="s">
        <v>90</v>
      </c>
      <c r="F75" s="16">
        <f ca="1">F95</f>
        <v>14.361318444880299</v>
      </c>
      <c r="G75" s="16">
        <f ca="1">F75</f>
        <v>14.361318444880299</v>
      </c>
      <c r="H75" s="16">
        <f t="shared" ca="1" si="22"/>
        <v>14.361318444880299</v>
      </c>
      <c r="I75" s="16">
        <f t="shared" ca="1" si="23"/>
        <v>14.361318444880299</v>
      </c>
      <c r="J75" s="16">
        <f t="shared" ca="1" si="24"/>
        <v>14.361318444880299</v>
      </c>
      <c r="K75" s="16">
        <f t="shared" ca="1" si="25"/>
        <v>14.361318444880299</v>
      </c>
      <c r="L75" s="16">
        <f t="shared" ca="1" si="26"/>
        <v>14.361318444880299</v>
      </c>
      <c r="M75" s="16">
        <f t="shared" ca="1" si="27"/>
        <v>14.361318444880299</v>
      </c>
      <c r="N75" s="16">
        <f t="shared" ca="1" si="28"/>
        <v>14.361318444880299</v>
      </c>
      <c r="O75" s="16">
        <f t="shared" ca="1" si="29"/>
        <v>14.361318444880299</v>
      </c>
      <c r="P75" s="16">
        <f t="shared" ca="1" si="30"/>
        <v>14.361318444880299</v>
      </c>
      <c r="Q75" s="16">
        <f t="shared" ca="1" si="31"/>
        <v>14.361318444880299</v>
      </c>
      <c r="R75" s="11">
        <f t="shared" ca="1" si="32"/>
        <v>14.361318444880299</v>
      </c>
    </row>
    <row r="76" spans="5:18">
      <c r="E76" s="10" t="s">
        <v>91</v>
      </c>
      <c r="F76" s="16">
        <f>F15</f>
        <v>5</v>
      </c>
      <c r="G76" s="16">
        <f>F76</f>
        <v>5</v>
      </c>
      <c r="H76" s="16">
        <f t="shared" si="22"/>
        <v>5</v>
      </c>
      <c r="I76" s="16">
        <f t="shared" si="23"/>
        <v>5</v>
      </c>
      <c r="J76" s="16">
        <f t="shared" si="24"/>
        <v>5</v>
      </c>
      <c r="K76" s="16">
        <f t="shared" si="25"/>
        <v>5</v>
      </c>
      <c r="L76" s="16">
        <f t="shared" si="26"/>
        <v>5</v>
      </c>
      <c r="M76" s="16">
        <f t="shared" si="27"/>
        <v>5</v>
      </c>
      <c r="N76" s="16">
        <f t="shared" si="28"/>
        <v>5</v>
      </c>
      <c r="O76" s="16">
        <f t="shared" si="29"/>
        <v>5</v>
      </c>
      <c r="P76" s="16">
        <f t="shared" si="30"/>
        <v>5</v>
      </c>
      <c r="Q76" s="16">
        <f t="shared" si="31"/>
        <v>5</v>
      </c>
      <c r="R76" s="11">
        <f t="shared" si="32"/>
        <v>5</v>
      </c>
    </row>
    <row r="77" spans="5:18">
      <c r="E77" s="10" t="s">
        <v>57</v>
      </c>
      <c r="F77" s="16">
        <f>2*R71</f>
        <v>1.9423696867486371</v>
      </c>
      <c r="G77" s="16">
        <f>F77</f>
        <v>1.9423696867486371</v>
      </c>
      <c r="H77" s="16">
        <f t="shared" si="22"/>
        <v>1.9423696867486371</v>
      </c>
      <c r="I77" s="16">
        <f t="shared" si="23"/>
        <v>1.9423696867486371</v>
      </c>
      <c r="J77" s="16">
        <f t="shared" si="24"/>
        <v>1.9423696867486371</v>
      </c>
      <c r="K77" s="16">
        <f t="shared" si="25"/>
        <v>1.9423696867486371</v>
      </c>
      <c r="L77" s="16">
        <f t="shared" si="26"/>
        <v>1.9423696867486371</v>
      </c>
      <c r="M77" s="16">
        <f t="shared" si="27"/>
        <v>1.9423696867486371</v>
      </c>
      <c r="N77" s="16">
        <f t="shared" si="28"/>
        <v>1.9423696867486371</v>
      </c>
      <c r="O77" s="16">
        <f t="shared" si="29"/>
        <v>1.9423696867486371</v>
      </c>
      <c r="P77" s="16">
        <f t="shared" si="30"/>
        <v>1.9423696867486371</v>
      </c>
      <c r="Q77" s="16">
        <f t="shared" si="31"/>
        <v>1.9423696867486371</v>
      </c>
      <c r="R77" s="11">
        <f t="shared" si="32"/>
        <v>1.9423696867486371</v>
      </c>
    </row>
    <row r="78" spans="5:18">
      <c r="E78" s="10" t="s">
        <v>79</v>
      </c>
      <c r="F78" s="16">
        <f>F18</f>
        <v>1</v>
      </c>
      <c r="G78" s="16">
        <f>F78</f>
        <v>1</v>
      </c>
      <c r="H78" s="16">
        <f t="shared" si="22"/>
        <v>1</v>
      </c>
      <c r="I78" s="16">
        <f t="shared" si="23"/>
        <v>1</v>
      </c>
      <c r="J78" s="16">
        <f t="shared" si="24"/>
        <v>1</v>
      </c>
      <c r="K78" s="16">
        <f t="shared" si="25"/>
        <v>1</v>
      </c>
      <c r="L78" s="16">
        <f t="shared" si="26"/>
        <v>1</v>
      </c>
      <c r="M78" s="16">
        <f t="shared" si="27"/>
        <v>1</v>
      </c>
      <c r="N78" s="16">
        <f t="shared" si="28"/>
        <v>1</v>
      </c>
      <c r="O78" s="16">
        <f t="shared" si="29"/>
        <v>1</v>
      </c>
      <c r="P78" s="16">
        <f t="shared" si="30"/>
        <v>1</v>
      </c>
      <c r="Q78" s="16">
        <f t="shared" si="31"/>
        <v>1</v>
      </c>
      <c r="R78" s="11">
        <f t="shared" si="32"/>
        <v>1</v>
      </c>
    </row>
    <row r="79" spans="5:18">
      <c r="E79" s="10" t="s">
        <v>96</v>
      </c>
      <c r="F79" s="16">
        <f>0.25*F77*SQRT((1-F78/2)/(1-F78/4))</f>
        <v>0.39648455203198013</v>
      </c>
      <c r="G79" s="16">
        <f t="shared" ref="G79:R79" si="33">0.25*G77*SQRT((1-G78/2)/(1-G78/4))</f>
        <v>0.39648455203198013</v>
      </c>
      <c r="H79" s="16">
        <f t="shared" si="33"/>
        <v>0.39648455203198013</v>
      </c>
      <c r="I79" s="16">
        <f t="shared" si="33"/>
        <v>0.39648455203198013</v>
      </c>
      <c r="J79" s="16">
        <f t="shared" si="33"/>
        <v>0.39648455203198013</v>
      </c>
      <c r="K79" s="16">
        <f t="shared" si="33"/>
        <v>0.39648455203198013</v>
      </c>
      <c r="L79" s="16">
        <f t="shared" si="33"/>
        <v>0.39648455203198013</v>
      </c>
      <c r="M79" s="16">
        <f t="shared" si="33"/>
        <v>0.39648455203198013</v>
      </c>
      <c r="N79" s="16">
        <f t="shared" si="33"/>
        <v>0.39648455203198013</v>
      </c>
      <c r="O79" s="16">
        <f t="shared" si="33"/>
        <v>0.39648455203198013</v>
      </c>
      <c r="P79" s="16">
        <f t="shared" si="33"/>
        <v>0.39648455203198013</v>
      </c>
      <c r="Q79" s="16">
        <f t="shared" si="33"/>
        <v>0.39648455203198013</v>
      </c>
      <c r="R79" s="11">
        <f t="shared" si="33"/>
        <v>0.39648455203198013</v>
      </c>
    </row>
    <row r="80" spans="5:18">
      <c r="E80" s="10" t="s">
        <v>97</v>
      </c>
      <c r="F80" s="21">
        <f t="shared" ref="F80:R80" si="34">F71</f>
        <v>0</v>
      </c>
      <c r="G80" s="21">
        <f t="shared" si="34"/>
        <v>8.093207028119323E-2</v>
      </c>
      <c r="H80" s="21">
        <f t="shared" si="34"/>
        <v>0.16186414056238646</v>
      </c>
      <c r="I80" s="21">
        <f t="shared" si="34"/>
        <v>0.24279621084357969</v>
      </c>
      <c r="J80" s="21">
        <f t="shared" si="34"/>
        <v>0.32372828112477292</v>
      </c>
      <c r="K80" s="21">
        <f t="shared" si="34"/>
        <v>0.40466035140596612</v>
      </c>
      <c r="L80" s="21">
        <f t="shared" si="34"/>
        <v>0.48559242168715933</v>
      </c>
      <c r="M80" s="21">
        <f t="shared" si="34"/>
        <v>0.56652449196835253</v>
      </c>
      <c r="N80" s="21">
        <f t="shared" si="34"/>
        <v>0.64745656224954573</v>
      </c>
      <c r="O80" s="21">
        <f t="shared" si="34"/>
        <v>0.72838863253073893</v>
      </c>
      <c r="P80" s="21">
        <f t="shared" si="34"/>
        <v>0.80932070281193214</v>
      </c>
      <c r="Q80" s="21">
        <f t="shared" si="34"/>
        <v>0.89025277309312534</v>
      </c>
      <c r="R80" s="22">
        <f t="shared" si="34"/>
        <v>0.97118484337431854</v>
      </c>
    </row>
    <row r="81" spans="5:18">
      <c r="E81" s="10" t="s">
        <v>92</v>
      </c>
      <c r="F81" s="16">
        <f>F80/(0.5*F77)</f>
        <v>0</v>
      </c>
      <c r="G81" s="16">
        <f t="shared" ref="G81:R81" si="35">G80/(0.5*G77)</f>
        <v>8.3333333333333356E-2</v>
      </c>
      <c r="H81" s="16">
        <f t="shared" si="35"/>
        <v>0.16666666666666671</v>
      </c>
      <c r="I81" s="16">
        <f t="shared" si="35"/>
        <v>0.25000000000000006</v>
      </c>
      <c r="J81" s="16">
        <f t="shared" si="35"/>
        <v>0.33333333333333343</v>
      </c>
      <c r="K81" s="16">
        <f t="shared" si="35"/>
        <v>0.41666666666666674</v>
      </c>
      <c r="L81" s="16">
        <f t="shared" si="35"/>
        <v>0.50000000000000011</v>
      </c>
      <c r="M81" s="16">
        <f t="shared" si="35"/>
        <v>0.58333333333333337</v>
      </c>
      <c r="N81" s="16">
        <f t="shared" si="35"/>
        <v>0.66666666666666674</v>
      </c>
      <c r="O81" s="16">
        <f t="shared" si="35"/>
        <v>0.75</v>
      </c>
      <c r="P81" s="16">
        <f t="shared" si="35"/>
        <v>0.83333333333333337</v>
      </c>
      <c r="Q81" s="16">
        <f t="shared" si="35"/>
        <v>0.91666666666666663</v>
      </c>
      <c r="R81" s="11">
        <f t="shared" si="35"/>
        <v>1</v>
      </c>
    </row>
    <row r="82" spans="5:18">
      <c r="E82" s="45" t="s">
        <v>93</v>
      </c>
      <c r="F82" s="16">
        <f>F22</f>
        <v>0.1</v>
      </c>
      <c r="G82" s="16">
        <f>F82</f>
        <v>0.1</v>
      </c>
      <c r="H82" s="16">
        <f t="shared" ref="H82" si="36">G82</f>
        <v>0.1</v>
      </c>
      <c r="I82" s="16">
        <f t="shared" ref="I82" si="37">H82</f>
        <v>0.1</v>
      </c>
      <c r="J82" s="16">
        <f t="shared" ref="J82" si="38">I82</f>
        <v>0.1</v>
      </c>
      <c r="K82" s="16">
        <f t="shared" ref="K82" si="39">J82</f>
        <v>0.1</v>
      </c>
      <c r="L82" s="16">
        <f t="shared" ref="L82" si="40">K82</f>
        <v>0.1</v>
      </c>
      <c r="M82" s="16">
        <f t="shared" ref="M82" si="41">L82</f>
        <v>0.1</v>
      </c>
      <c r="N82" s="16">
        <f t="shared" ref="N82" si="42">M82</f>
        <v>0.1</v>
      </c>
      <c r="O82" s="16">
        <f t="shared" ref="O82" si="43">N82</f>
        <v>0.1</v>
      </c>
      <c r="P82" s="16">
        <f t="shared" ref="P82" si="44">O82</f>
        <v>0.1</v>
      </c>
      <c r="Q82" s="16">
        <f t="shared" ref="Q82" si="45">P82</f>
        <v>0.1</v>
      </c>
      <c r="R82" s="11">
        <f t="shared" ref="R82" si="46">Q82</f>
        <v>0.1</v>
      </c>
    </row>
    <row r="83" spans="5:18">
      <c r="E83" s="10" t="s">
        <v>94</v>
      </c>
      <c r="F83" s="16">
        <f ca="1">F76*9.81*SQRT((1-0.5*F78)/(1-F78/4)^3)/(3.14*F79*F74*F75)</f>
        <v>2.2555759114130862</v>
      </c>
      <c r="G83" s="16">
        <f t="shared" ref="G83:R83" ca="1" si="47">G76*9.81*SQRT((1-0.5*G78)/(1-G78/4)^3)/(3.14*G79*G74*G75)</f>
        <v>2.2555759114130862</v>
      </c>
      <c r="H83" s="16">
        <f t="shared" ca="1" si="47"/>
        <v>2.2555759114130862</v>
      </c>
      <c r="I83" s="16">
        <f t="shared" ca="1" si="47"/>
        <v>2.2555759114130862</v>
      </c>
      <c r="J83" s="16">
        <f t="shared" ca="1" si="47"/>
        <v>2.2555759114130862</v>
      </c>
      <c r="K83" s="16">
        <f t="shared" ca="1" si="47"/>
        <v>2.2555759114130862</v>
      </c>
      <c r="L83" s="16">
        <f t="shared" ca="1" si="47"/>
        <v>2.2555759114130862</v>
      </c>
      <c r="M83" s="16">
        <f t="shared" ca="1" si="47"/>
        <v>2.2555759114130862</v>
      </c>
      <c r="N83" s="16">
        <f t="shared" ca="1" si="47"/>
        <v>2.2555759114130862</v>
      </c>
      <c r="O83" s="16">
        <f t="shared" ca="1" si="47"/>
        <v>2.2555759114130862</v>
      </c>
      <c r="P83" s="16">
        <f t="shared" ca="1" si="47"/>
        <v>2.2555759114130862</v>
      </c>
      <c r="Q83" s="16">
        <f t="shared" ca="1" si="47"/>
        <v>2.2555759114130862</v>
      </c>
      <c r="R83" s="11">
        <f t="shared" ca="1" si="47"/>
        <v>2.2555759114130862</v>
      </c>
    </row>
    <row r="84" spans="5:18">
      <c r="E84" s="10" t="s">
        <v>81</v>
      </c>
      <c r="F84" s="16">
        <f ca="1">F83*(1-F78*F81^2)*SQRT(1-F81^2)</f>
        <v>2.2555759114130862</v>
      </c>
      <c r="G84" s="16">
        <f t="shared" ref="G84:R84" ca="1" si="48">G83*(1-G78*G81^2)*SQRT(1-G81^2)</f>
        <v>2.232121167279332</v>
      </c>
      <c r="H84" s="16">
        <f t="shared" ca="1" si="48"/>
        <v>2.16224929030792</v>
      </c>
      <c r="I84" s="16">
        <f t="shared" ca="1" si="48"/>
        <v>2.0474549861741012</v>
      </c>
      <c r="J84" s="16">
        <f t="shared" ca="1" si="48"/>
        <v>1.8902909895599651</v>
      </c>
      <c r="K84" s="16">
        <f t="shared" ca="1" si="48"/>
        <v>1.6944710440782282</v>
      </c>
      <c r="L84" s="16">
        <f t="shared" ca="1" si="48"/>
        <v>1.4650395295859779</v>
      </c>
      <c r="M84" s="16">
        <f t="shared" ca="1" si="48"/>
        <v>1.2086459959934008</v>
      </c>
      <c r="N84" s="16">
        <f t="shared" ca="1" si="48"/>
        <v>0.93400390117235232</v>
      </c>
      <c r="O84" s="16">
        <f t="shared" ca="1" si="48"/>
        <v>0.65271641365293964</v>
      </c>
      <c r="P84" s="16">
        <f t="shared" ca="1" si="48"/>
        <v>0.38097170753487158</v>
      </c>
      <c r="Q84" s="16">
        <f t="shared" ca="1" si="48"/>
        <v>0.14398109222287775</v>
      </c>
      <c r="R84" s="11">
        <f t="shared" ca="1" si="48"/>
        <v>0</v>
      </c>
    </row>
    <row r="85" spans="5:18">
      <c r="E85" s="10" t="s">
        <v>95</v>
      </c>
      <c r="F85" s="16">
        <f ca="1">-F83*(1+0.5*F78-3*F78*F81^2)/(2*F77)</f>
        <v>-0.79803420412839887</v>
      </c>
      <c r="G85" s="16">
        <f t="shared" ref="G85:R85" ca="1" si="49">-G83*(1+0.5*G78-3*G78*G81^2)/(2*G77)</f>
        <v>-0.78695039573772663</v>
      </c>
      <c r="H85" s="16">
        <f t="shared" ca="1" si="49"/>
        <v>-0.75369897056570989</v>
      </c>
      <c r="I85" s="16">
        <f t="shared" ca="1" si="49"/>
        <v>-0.698279928612349</v>
      </c>
      <c r="J85" s="16">
        <f t="shared" ca="1" si="49"/>
        <v>-0.62069326987764339</v>
      </c>
      <c r="K85" s="16">
        <f t="shared" ca="1" si="49"/>
        <v>-0.52093899436159352</v>
      </c>
      <c r="L85" s="16">
        <f t="shared" ca="1" si="49"/>
        <v>-0.39901710206419921</v>
      </c>
      <c r="M85" s="16">
        <f t="shared" ca="1" si="49"/>
        <v>-0.25492759298546042</v>
      </c>
      <c r="N85" s="16">
        <f t="shared" ca="1" si="49"/>
        <v>-8.8670467125377211E-2</v>
      </c>
      <c r="O85" s="16">
        <f t="shared" ca="1" si="49"/>
        <v>9.9754275516050206E-2</v>
      </c>
      <c r="P85" s="16">
        <f t="shared" ca="1" si="49"/>
        <v>0.31034663493882181</v>
      </c>
      <c r="Q85" s="16">
        <f t="shared" ca="1" si="49"/>
        <v>0.54310661114293834</v>
      </c>
      <c r="R85" s="11">
        <f t="shared" ca="1" si="49"/>
        <v>0.79803420412839887</v>
      </c>
    </row>
    <row r="86" spans="5:18">
      <c r="E86" s="10" t="s">
        <v>98</v>
      </c>
      <c r="F86" s="16">
        <f ca="1">ATAN(-F85/F75)</f>
        <v>5.5511221045839873E-2</v>
      </c>
      <c r="G86" s="16">
        <f t="shared" ref="G86:R86" ca="1" si="50">ATAN(-G85/G75)</f>
        <v>5.4741782010118069E-2</v>
      </c>
      <c r="H86" s="16">
        <f t="shared" ca="1" si="50"/>
        <v>5.2433079184991037E-2</v>
      </c>
      <c r="I86" s="16">
        <f t="shared" ca="1" si="50"/>
        <v>4.8584009662662291E-2</v>
      </c>
      <c r="J86" s="16">
        <f t="shared" ca="1" si="50"/>
        <v>4.3192916443395526E-2</v>
      </c>
      <c r="K86" s="16">
        <f t="shared" ca="1" si="50"/>
        <v>3.625786136821732E-2</v>
      </c>
      <c r="L86" s="16">
        <f t="shared" ca="1" si="50"/>
        <v>2.7777009202870587E-2</v>
      </c>
      <c r="M86" s="16">
        <f t="shared" ca="1" si="50"/>
        <v>1.7749124033124244E-2</v>
      </c>
      <c r="N86" s="16">
        <f t="shared" ca="1" si="50"/>
        <v>6.1741782791498306E-3</v>
      </c>
      <c r="O86" s="16">
        <f t="shared" ca="1" si="50"/>
        <v>-6.9459271200409452E-3</v>
      </c>
      <c r="P86" s="16">
        <f t="shared" ca="1" si="50"/>
        <v>-2.1606535660757605E-2</v>
      </c>
      <c r="Q86" s="16">
        <f t="shared" ca="1" si="50"/>
        <v>-3.7799309806705143E-2</v>
      </c>
      <c r="R86" s="11">
        <f t="shared" ca="1" si="50"/>
        <v>-5.5511221045839873E-2</v>
      </c>
    </row>
    <row r="87" spans="5:18">
      <c r="E87" s="10" t="s">
        <v>99</v>
      </c>
      <c r="F87" s="16">
        <f ca="1">F86*180/3.14</f>
        <v>3.1821719070863619</v>
      </c>
      <c r="G87" s="16">
        <f t="shared" ref="G87:R87" ca="1" si="51">G86*180/3.14</f>
        <v>3.1380639368857492</v>
      </c>
      <c r="H87" s="16">
        <f t="shared" ca="1" si="51"/>
        <v>3.0057179150631801</v>
      </c>
      <c r="I87" s="16">
        <f t="shared" ca="1" si="51"/>
        <v>2.7850706176048448</v>
      </c>
      <c r="J87" s="16">
        <f t="shared" ca="1" si="51"/>
        <v>2.4760270572647118</v>
      </c>
      <c r="K87" s="16">
        <f t="shared" ca="1" si="51"/>
        <v>2.0784761293882541</v>
      </c>
      <c r="L87" s="16">
        <f t="shared" ca="1" si="51"/>
        <v>1.5923126294639189</v>
      </c>
      <c r="M87" s="16">
        <f t="shared" ca="1" si="51"/>
        <v>1.0174657089052115</v>
      </c>
      <c r="N87" s="16">
        <f t="shared" ca="1" si="51"/>
        <v>0.35393378670285652</v>
      </c>
      <c r="O87" s="16">
        <f t="shared" ca="1" si="51"/>
        <v>-0.39817416611699685</v>
      </c>
      <c r="P87" s="16">
        <f t="shared" ca="1" si="51"/>
        <v>-1.2385912162217734</v>
      </c>
      <c r="Q87" s="16">
        <f t="shared" ca="1" si="51"/>
        <v>-2.1668394156709954</v>
      </c>
      <c r="R87" s="11">
        <f t="shared" ca="1" si="51"/>
        <v>-3.1821719070863619</v>
      </c>
    </row>
    <row r="88" spans="5:18">
      <c r="E88" s="10"/>
      <c r="F88" s="16"/>
      <c r="G88" s="16"/>
      <c r="H88" s="16"/>
      <c r="I88" s="16"/>
      <c r="J88" s="16"/>
      <c r="K88" s="16"/>
      <c r="L88" s="16"/>
      <c r="M88" s="16"/>
      <c r="N88" s="16"/>
      <c r="O88" s="16"/>
      <c r="P88" s="16"/>
      <c r="Q88" s="16"/>
      <c r="R88" s="11"/>
    </row>
    <row r="89" spans="5:18">
      <c r="E89" s="10"/>
      <c r="F89" s="16"/>
      <c r="G89" s="16"/>
      <c r="H89" s="16"/>
      <c r="I89" s="16"/>
      <c r="J89" s="16"/>
      <c r="K89" s="16"/>
      <c r="L89" s="16"/>
      <c r="M89" s="16"/>
      <c r="N89" s="16"/>
      <c r="O89" s="16"/>
      <c r="P89" s="16"/>
      <c r="Q89" s="16"/>
      <c r="R89" s="11"/>
    </row>
    <row r="90" spans="5:18">
      <c r="E90" s="10" t="s">
        <v>109</v>
      </c>
      <c r="F90" s="16">
        <f ca="1">-(F106-R106)</f>
        <v>-11.544810905467841</v>
      </c>
      <c r="G90" s="16"/>
      <c r="H90" s="16"/>
      <c r="I90" s="16"/>
      <c r="J90" s="16"/>
      <c r="K90" s="16"/>
      <c r="L90" s="16"/>
      <c r="M90" s="16"/>
      <c r="N90" s="16"/>
      <c r="O90" s="16"/>
      <c r="P90" s="16"/>
      <c r="Q90" s="16"/>
      <c r="R90" s="11"/>
    </row>
    <row r="91" spans="5:18">
      <c r="E91" s="10" t="s">
        <v>110</v>
      </c>
      <c r="F91" s="16">
        <f ca="1">-(F108-R108)</f>
        <v>-12.504810905467842</v>
      </c>
      <c r="G91" s="16"/>
      <c r="H91" s="16"/>
      <c r="I91" s="16"/>
      <c r="J91" s="16"/>
      <c r="K91" s="16"/>
      <c r="L91" s="16"/>
      <c r="M91" s="16"/>
      <c r="N91" s="16"/>
      <c r="O91" s="16"/>
      <c r="P91" s="16"/>
      <c r="Q91" s="16"/>
      <c r="R91" s="11"/>
    </row>
    <row r="92" spans="5:18">
      <c r="E92" s="10"/>
      <c r="F92" s="16"/>
      <c r="G92" s="16"/>
      <c r="H92" s="16"/>
      <c r="I92" s="16"/>
      <c r="J92" s="16"/>
      <c r="K92" s="16"/>
      <c r="L92" s="16"/>
      <c r="M92" s="16"/>
      <c r="N92" s="16"/>
      <c r="O92" s="16"/>
      <c r="P92" s="16"/>
      <c r="Q92" s="16"/>
      <c r="R92" s="11"/>
    </row>
    <row r="93" spans="5:18">
      <c r="E93" s="10" t="s">
        <v>135</v>
      </c>
      <c r="F93" s="16">
        <f ca="1">3*3.14*(F104)*F105*F77/(16*F94)</f>
        <v>0.5</v>
      </c>
      <c r="G93" s="16">
        <f>G33</f>
        <v>0.5</v>
      </c>
      <c r="H93" s="16"/>
      <c r="I93" s="16"/>
      <c r="J93" s="16"/>
      <c r="K93" s="16"/>
      <c r="L93" s="16"/>
      <c r="M93" s="16"/>
      <c r="N93" s="16"/>
      <c r="O93" s="16"/>
      <c r="P93" s="16"/>
      <c r="Q93" s="16"/>
      <c r="R93" s="11"/>
    </row>
    <row r="94" spans="5:18">
      <c r="E94" s="10" t="s">
        <v>82</v>
      </c>
      <c r="F94" s="16">
        <f ca="1">F34-'Planform Geometry'!B55</f>
        <v>0.78406352816320135</v>
      </c>
      <c r="G94" s="16"/>
      <c r="H94" s="16"/>
      <c r="I94" s="16"/>
      <c r="J94" s="16"/>
      <c r="K94" s="16"/>
      <c r="L94" s="16"/>
      <c r="M94" s="16"/>
      <c r="N94" s="16"/>
      <c r="O94" s="16"/>
      <c r="P94" s="16"/>
      <c r="Q94" s="16"/>
      <c r="R94" s="11"/>
    </row>
    <row r="95" spans="5:18" ht="15" thickBot="1">
      <c r="E95" s="12" t="s">
        <v>78</v>
      </c>
      <c r="F95" s="25">
        <f ca="1">(2*F76*9.81/(G93*F74*F94))^0.5</f>
        <v>14.361318444880299</v>
      </c>
      <c r="G95" s="25"/>
      <c r="H95" s="25"/>
      <c r="I95" s="25"/>
      <c r="J95" s="25"/>
      <c r="K95" s="25"/>
      <c r="L95" s="25"/>
      <c r="M95" s="25"/>
      <c r="N95" s="25"/>
      <c r="O95" s="25"/>
      <c r="P95" s="25"/>
      <c r="Q95" s="25"/>
      <c r="R95" s="13"/>
    </row>
    <row r="103" spans="5:18" ht="15" thickBot="1">
      <c r="E103" s="6" t="s">
        <v>167</v>
      </c>
      <c r="F103" s="6" t="s">
        <v>4</v>
      </c>
      <c r="G103" s="6">
        <v>2</v>
      </c>
      <c r="H103" s="6">
        <v>3</v>
      </c>
      <c r="I103" s="6">
        <v>4</v>
      </c>
      <c r="J103" s="6">
        <v>5</v>
      </c>
      <c r="K103" s="6">
        <v>6</v>
      </c>
      <c r="L103" s="6">
        <v>7</v>
      </c>
      <c r="M103" s="6">
        <v>8</v>
      </c>
      <c r="N103" s="6">
        <v>9</v>
      </c>
      <c r="O103" s="6">
        <v>10</v>
      </c>
      <c r="P103" s="6">
        <v>11</v>
      </c>
      <c r="Q103" s="6">
        <v>12</v>
      </c>
      <c r="R103" s="6" t="s">
        <v>3</v>
      </c>
    </row>
    <row r="104" spans="5:18">
      <c r="E104" t="s">
        <v>64</v>
      </c>
      <c r="F104" s="44">
        <f t="shared" ref="F104:R104" ca="1" si="52">F70</f>
        <v>0.60635115902817871</v>
      </c>
      <c r="G104" s="15">
        <f t="shared" ca="1" si="52"/>
        <v>0.56693833369134705</v>
      </c>
      <c r="H104" s="15">
        <f t="shared" ca="1" si="52"/>
        <v>0.52752550835451539</v>
      </c>
      <c r="I104" s="15">
        <f t="shared" ca="1" si="52"/>
        <v>0.4881126830176839</v>
      </c>
      <c r="J104" s="15">
        <f t="shared" ca="1" si="52"/>
        <v>0.4486998576808523</v>
      </c>
      <c r="K104" s="15">
        <f t="shared" ca="1" si="52"/>
        <v>0.40928703234402064</v>
      </c>
      <c r="L104" s="15">
        <f t="shared" ca="1" si="52"/>
        <v>0.36987420700718898</v>
      </c>
      <c r="M104" s="15">
        <f t="shared" ca="1" si="52"/>
        <v>0.33046138167035732</v>
      </c>
      <c r="N104" s="15">
        <f t="shared" ca="1" si="52"/>
        <v>0.29104855633352572</v>
      </c>
      <c r="O104" s="15">
        <f t="shared" ca="1" si="52"/>
        <v>0.25163573099669406</v>
      </c>
      <c r="P104" s="15">
        <f t="shared" ca="1" si="52"/>
        <v>0.21222290565986257</v>
      </c>
      <c r="Q104" s="15">
        <f t="shared" ca="1" si="52"/>
        <v>0.1728100803230308</v>
      </c>
      <c r="R104" s="9">
        <f t="shared" ca="1" si="52"/>
        <v>0.13339725498619937</v>
      </c>
    </row>
    <row r="105" spans="5:18">
      <c r="E105" t="s">
        <v>134</v>
      </c>
      <c r="F105" s="10">
        <f t="shared" ref="F105" ca="1" si="53">2*F84/(F104*F75)</f>
        <v>0.51804670912951178</v>
      </c>
      <c r="G105" s="16">
        <f t="shared" ref="G105" ca="1" si="54">2*G84/(G104*G75)</f>
        <v>0.5482992178880175</v>
      </c>
      <c r="H105" s="16">
        <f t="shared" ref="H105" ca="1" si="55">2*H84/(H104*H75)</f>
        <v>0.57081842374618841</v>
      </c>
      <c r="I105" s="16">
        <f t="shared" ref="I105" ca="1" si="56">2*I84/(I104*I75)</f>
        <v>0.58415749524926919</v>
      </c>
      <c r="J105" s="16">
        <f t="shared" ref="J105" ca="1" si="57">2*J84/(J104*J75)</f>
        <v>0.58668963523019435</v>
      </c>
      <c r="K105" s="16">
        <f t="shared" ref="K105" ca="1" si="58">2*K84/(K104*K75)</f>
        <v>0.57655647034256163</v>
      </c>
      <c r="L105" s="16">
        <f t="shared" ref="L105" ca="1" si="59">2*L84/(L104*L75)</f>
        <v>0.55160853744231753</v>
      </c>
      <c r="M105" s="16">
        <f t="shared" ref="M105" ca="1" si="60">2*M84/(M104*M75)</f>
        <v>0.50934739192001122</v>
      </c>
      <c r="N105" s="16">
        <f t="shared" ref="N105" ca="1" si="61">2*N84/(N104*N75)</f>
        <v>0.44690881833859913</v>
      </c>
      <c r="O105" s="16">
        <f t="shared" ref="O105" ca="1" si="62">2*O84/(O104*O75)</f>
        <v>0.36123340809882198</v>
      </c>
      <c r="P105" s="16">
        <f t="shared" ref="P105" ca="1" si="63">2*P84/(P104*P75)</f>
        <v>0.24999777961204603</v>
      </c>
      <c r="Q105" s="16">
        <f t="shared" ref="Q105" ca="1" si="64">2*Q84/(Q104*Q75)</f>
        <v>0.1160304763206825</v>
      </c>
      <c r="R105" s="11">
        <f t="shared" ref="R105" ca="1" si="65">2*R84/(R104*R75)</f>
        <v>0</v>
      </c>
    </row>
    <row r="106" spans="5:18">
      <c r="E106" t="s">
        <v>108</v>
      </c>
      <c r="F106" s="10">
        <f t="shared" ref="F106" ca="1" si="66">F105/F82+F87</f>
        <v>8.3626389983814793</v>
      </c>
      <c r="G106" s="16">
        <f t="shared" ref="G106" ca="1" si="67">G105/G82+G87</f>
        <v>8.6210561157659242</v>
      </c>
      <c r="H106" s="16">
        <f t="shared" ref="H106" ca="1" si="68">H105/H82+H87</f>
        <v>8.7139021525250637</v>
      </c>
      <c r="I106" s="16">
        <f t="shared" ref="I106" ca="1" si="69">I105/I82+I87</f>
        <v>8.6266455700975371</v>
      </c>
      <c r="J106" s="16">
        <f t="shared" ref="J106" ca="1" si="70">J105/J82+J87</f>
        <v>8.3429234095666551</v>
      </c>
      <c r="K106" s="16">
        <f t="shared" ref="K106" ca="1" si="71">K105/K82+K87</f>
        <v>7.84404083281387</v>
      </c>
      <c r="L106" s="16">
        <f t="shared" ref="L106" ca="1" si="72">L105/L82+L87</f>
        <v>7.1083980038870935</v>
      </c>
      <c r="M106" s="16">
        <f t="shared" ref="M106" ca="1" si="73">M105/M82+M87</f>
        <v>6.1109396281053234</v>
      </c>
      <c r="N106" s="16">
        <f t="shared" ref="N106" ca="1" si="74">N105/N82+N87</f>
        <v>4.8230219700888473</v>
      </c>
      <c r="O106" s="16">
        <f t="shared" ref="O106" ca="1" si="75">O105/O82+O87</f>
        <v>3.2141599148712228</v>
      </c>
      <c r="P106" s="16">
        <f t="shared" ref="P106" ca="1" si="76">P105/P82+P87</f>
        <v>1.2613865798986867</v>
      </c>
      <c r="Q106" s="16">
        <f t="shared" ref="Q106" ca="1" si="77">Q105/Q82+Q87</f>
        <v>-1.0065346524641705</v>
      </c>
      <c r="R106" s="11">
        <f t="shared" ref="R106" ca="1" si="78">R105/R82+R87</f>
        <v>-3.1821719070863619</v>
      </c>
    </row>
    <row r="107" spans="5:18">
      <c r="E107" t="s">
        <v>101</v>
      </c>
      <c r="F107" s="10">
        <f>F47</f>
        <v>-0.9</v>
      </c>
      <c r="G107" s="16">
        <f t="shared" ref="G107:Q107" si="79">F107*(1-G81*1)</f>
        <v>-0.82499999999999996</v>
      </c>
      <c r="H107" s="16">
        <f t="shared" si="79"/>
        <v>-0.68749999999999989</v>
      </c>
      <c r="I107" s="16">
        <f t="shared" si="79"/>
        <v>-0.51562499999999989</v>
      </c>
      <c r="J107" s="16">
        <f t="shared" si="79"/>
        <v>-0.34374999999999983</v>
      </c>
      <c r="K107" s="16">
        <f t="shared" si="79"/>
        <v>-0.2005208333333332</v>
      </c>
      <c r="L107" s="16">
        <f t="shared" si="79"/>
        <v>-0.10026041666666657</v>
      </c>
      <c r="M107" s="16">
        <f t="shared" si="79"/>
        <v>-4.177517361111107E-2</v>
      </c>
      <c r="N107" s="16">
        <f t="shared" si="79"/>
        <v>-1.3925057870370353E-2</v>
      </c>
      <c r="O107" s="16">
        <f t="shared" si="79"/>
        <v>-3.4812644675925883E-3</v>
      </c>
      <c r="P107" s="16">
        <f t="shared" si="79"/>
        <v>-5.8021074459876454E-4</v>
      </c>
      <c r="Q107" s="16">
        <f t="shared" si="79"/>
        <v>-4.8350895383230399E-5</v>
      </c>
      <c r="R107" s="11">
        <f>R47</f>
        <v>-1.86</v>
      </c>
    </row>
    <row r="108" spans="5:18" ht="15" thickBot="1">
      <c r="E108" t="s">
        <v>100</v>
      </c>
      <c r="F108" s="12">
        <f t="shared" ref="F108" ca="1" si="80">F106+F107</f>
        <v>7.4626389983814789</v>
      </c>
      <c r="G108" s="25">
        <f t="shared" ref="G108" ca="1" si="81">G106+G107</f>
        <v>7.7960561157659241</v>
      </c>
      <c r="H108" s="25">
        <f t="shared" ref="H108" ca="1" si="82">H106+H107</f>
        <v>8.0264021525250637</v>
      </c>
      <c r="I108" s="25">
        <f t="shared" ref="I108" ca="1" si="83">I106+I107</f>
        <v>8.1110205700975371</v>
      </c>
      <c r="J108" s="25">
        <f t="shared" ref="J108" ca="1" si="84">J106+J107</f>
        <v>7.9991734095666551</v>
      </c>
      <c r="K108" s="25">
        <f t="shared" ref="K108" ca="1" si="85">K106+K107</f>
        <v>7.643519999480537</v>
      </c>
      <c r="L108" s="25">
        <f t="shared" ref="L108" ca="1" si="86">L106+L107</f>
        <v>7.0081375872204266</v>
      </c>
      <c r="M108" s="25">
        <f t="shared" ref="M108" ca="1" si="87">M106+M107</f>
        <v>6.0691644544942127</v>
      </c>
      <c r="N108" s="25">
        <f t="shared" ref="N108" ca="1" si="88">N106+N107</f>
        <v>4.809096912218477</v>
      </c>
      <c r="O108" s="25">
        <f t="shared" ref="O108" ca="1" si="89">O106+O107</f>
        <v>3.2106786504036302</v>
      </c>
      <c r="P108" s="25">
        <f t="shared" ref="P108" ca="1" si="90">P106+P107</f>
        <v>1.2608063691540881</v>
      </c>
      <c r="Q108" s="25">
        <f t="shared" ref="Q108" ca="1" si="91">Q106+Q107</f>
        <v>-1.0065830033595538</v>
      </c>
      <c r="R108" s="13">
        <f t="shared" ref="R108" ca="1" si="92">R106+R107</f>
        <v>-5.0421719070863622</v>
      </c>
    </row>
    <row r="110" spans="5:18" ht="15" thickBot="1">
      <c r="E110" s="6" t="s">
        <v>168</v>
      </c>
    </row>
    <row r="111" spans="5:18">
      <c r="E111" t="s">
        <v>85</v>
      </c>
      <c r="F111" s="44">
        <f t="shared" ref="F111:R111" ca="1" si="93">F69*F70*F65/0.0000185/1000000</f>
        <v>0</v>
      </c>
      <c r="G111" s="15">
        <f t="shared" ca="1" si="93"/>
        <v>0</v>
      </c>
      <c r="H111" s="15">
        <f t="shared" ca="1" si="93"/>
        <v>0</v>
      </c>
      <c r="I111" s="15">
        <f t="shared" ca="1" si="93"/>
        <v>0</v>
      </c>
      <c r="J111" s="15">
        <f t="shared" ca="1" si="93"/>
        <v>0</v>
      </c>
      <c r="K111" s="15">
        <f t="shared" ca="1" si="93"/>
        <v>0</v>
      </c>
      <c r="L111" s="15">
        <f t="shared" ca="1" si="93"/>
        <v>0</v>
      </c>
      <c r="M111" s="15">
        <f t="shared" ca="1" si="93"/>
        <v>0</v>
      </c>
      <c r="N111" s="15">
        <f t="shared" ca="1" si="93"/>
        <v>0</v>
      </c>
      <c r="O111" s="15">
        <f t="shared" ca="1" si="93"/>
        <v>0</v>
      </c>
      <c r="P111" s="15">
        <f t="shared" ca="1" si="93"/>
        <v>0</v>
      </c>
      <c r="Q111" s="15">
        <f t="shared" ca="1" si="93"/>
        <v>0</v>
      </c>
      <c r="R111" s="9">
        <f t="shared" ca="1" si="93"/>
        <v>0</v>
      </c>
    </row>
    <row r="112" spans="5:18">
      <c r="E112" t="s">
        <v>86</v>
      </c>
      <c r="F112" s="10">
        <f t="shared" ref="F112:R112" ca="1" si="94">F69*F70*F66/0.0000185/1000000</f>
        <v>0</v>
      </c>
      <c r="G112" s="16">
        <f t="shared" ca="1" si="94"/>
        <v>0</v>
      </c>
      <c r="H112" s="16">
        <f t="shared" ca="1" si="94"/>
        <v>0</v>
      </c>
      <c r="I112" s="16">
        <f t="shared" ca="1" si="94"/>
        <v>0</v>
      </c>
      <c r="J112" s="16">
        <f t="shared" ca="1" si="94"/>
        <v>0</v>
      </c>
      <c r="K112" s="16">
        <f t="shared" ca="1" si="94"/>
        <v>0</v>
      </c>
      <c r="L112" s="16">
        <f t="shared" ca="1" si="94"/>
        <v>0</v>
      </c>
      <c r="M112" s="16">
        <f t="shared" ca="1" si="94"/>
        <v>0</v>
      </c>
      <c r="N112" s="16">
        <f t="shared" ca="1" si="94"/>
        <v>0</v>
      </c>
      <c r="O112" s="16">
        <f t="shared" ca="1" si="94"/>
        <v>0</v>
      </c>
      <c r="P112" s="16">
        <f t="shared" ca="1" si="94"/>
        <v>0</v>
      </c>
      <c r="Q112" s="16">
        <f t="shared" ca="1" si="94"/>
        <v>0</v>
      </c>
      <c r="R112" s="11">
        <f t="shared" ca="1" si="94"/>
        <v>0</v>
      </c>
    </row>
    <row r="113" spans="5:18" ht="15" thickBot="1">
      <c r="E113" t="s">
        <v>87</v>
      </c>
      <c r="F113" s="12">
        <f t="shared" ref="F113:R113" ca="1" si="95">F69*F70*F67/0.0000185/1000000</f>
        <v>0</v>
      </c>
      <c r="G113" s="25">
        <f t="shared" ca="1" si="95"/>
        <v>0</v>
      </c>
      <c r="H113" s="25">
        <f t="shared" ca="1" si="95"/>
        <v>0</v>
      </c>
      <c r="I113" s="25">
        <f t="shared" ca="1" si="95"/>
        <v>0</v>
      </c>
      <c r="J113" s="25">
        <f t="shared" ca="1" si="95"/>
        <v>0</v>
      </c>
      <c r="K113" s="25">
        <f t="shared" ca="1" si="95"/>
        <v>0</v>
      </c>
      <c r="L113" s="25">
        <f t="shared" ca="1" si="95"/>
        <v>0</v>
      </c>
      <c r="M113" s="25">
        <f t="shared" ca="1" si="95"/>
        <v>0</v>
      </c>
      <c r="N113" s="25">
        <f t="shared" ca="1" si="95"/>
        <v>0</v>
      </c>
      <c r="O113" s="25">
        <f t="shared" ca="1" si="95"/>
        <v>0</v>
      </c>
      <c r="P113" s="25">
        <f t="shared" ca="1" si="95"/>
        <v>0</v>
      </c>
      <c r="Q113" s="25">
        <f t="shared" ca="1" si="95"/>
        <v>0</v>
      </c>
      <c r="R113" s="13">
        <f t="shared" ca="1" si="95"/>
        <v>0</v>
      </c>
    </row>
  </sheetData>
  <pageMargins left="0.7" right="0.7" top="0.75" bottom="0.75" header="0.3" footer="0.3"/>
  <pageSetup paperSize="9" orientation="portrait" horizontalDpi="300" verticalDpi="300"/>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4"/>
  <sheetViews>
    <sheetView tabSelected="1" topLeftCell="A15" zoomScale="80" zoomScaleNormal="80" zoomScalePageLayoutView="80" workbookViewId="0">
      <selection activeCell="F46" sqref="F46"/>
    </sheetView>
  </sheetViews>
  <sheetFormatPr baseColWidth="10" defaultColWidth="8.83203125" defaultRowHeight="14" x14ac:dyDescent="0"/>
  <cols>
    <col min="2" max="2" width="10" customWidth="1"/>
    <col min="3" max="3" width="11.5" customWidth="1"/>
    <col min="4" max="4" width="5.5" customWidth="1"/>
    <col min="5" max="5" width="10.6640625" customWidth="1"/>
    <col min="6" max="6" width="11.5" customWidth="1"/>
    <col min="7" max="7" width="4.5" customWidth="1"/>
    <col min="11" max="11" width="6" customWidth="1"/>
    <col min="15" max="15" width="5.5" customWidth="1"/>
    <col min="19" max="19" width="5.33203125" customWidth="1"/>
    <col min="23" max="23" width="5.1640625" customWidth="1"/>
    <col min="27" max="27" width="5.33203125" customWidth="1"/>
    <col min="31" max="31" width="5.1640625" customWidth="1"/>
    <col min="35" max="35" width="4.5" customWidth="1"/>
    <col min="39" max="39" width="5.5" customWidth="1"/>
    <col min="43" max="43" width="5.5" customWidth="1"/>
    <col min="47" max="47" width="5.5" customWidth="1"/>
  </cols>
  <sheetData>
    <row r="1" spans="1:50" ht="15" thickBot="1"/>
    <row r="2" spans="1:50">
      <c r="A2" s="44"/>
      <c r="B2" s="72" t="s">
        <v>152</v>
      </c>
      <c r="C2" s="72"/>
      <c r="D2" s="15"/>
      <c r="E2" s="72" t="s">
        <v>147</v>
      </c>
      <c r="F2" s="72"/>
      <c r="G2" s="9"/>
      <c r="H2" s="73">
        <v>2</v>
      </c>
      <c r="I2" s="73"/>
      <c r="J2" s="73"/>
      <c r="L2" s="73">
        <v>3</v>
      </c>
      <c r="M2" s="73"/>
      <c r="N2" s="73"/>
      <c r="P2" s="73">
        <v>4</v>
      </c>
      <c r="Q2" s="73"/>
      <c r="R2" s="73"/>
      <c r="T2" s="73">
        <v>5</v>
      </c>
      <c r="U2" s="73"/>
      <c r="V2" s="73"/>
      <c r="X2" s="73">
        <v>6</v>
      </c>
      <c r="Y2" s="73"/>
      <c r="Z2" s="73"/>
      <c r="AB2" s="73">
        <v>7</v>
      </c>
      <c r="AC2" s="73"/>
      <c r="AD2" s="73"/>
      <c r="AF2" s="73">
        <v>8</v>
      </c>
      <c r="AG2" s="73"/>
      <c r="AH2" s="73"/>
      <c r="AJ2" s="73">
        <v>9</v>
      </c>
      <c r="AK2" s="73"/>
      <c r="AL2" s="73"/>
      <c r="AN2" s="73">
        <v>10</v>
      </c>
      <c r="AO2" s="73"/>
      <c r="AP2" s="73"/>
      <c r="AR2" s="73">
        <v>11</v>
      </c>
      <c r="AS2" s="73"/>
      <c r="AT2" s="73"/>
      <c r="AV2" s="73">
        <v>12</v>
      </c>
      <c r="AW2" s="73"/>
      <c r="AX2" s="73"/>
    </row>
    <row r="3" spans="1:50">
      <c r="A3" s="10"/>
      <c r="B3" s="48" t="s">
        <v>6</v>
      </c>
      <c r="C3" s="48" t="s">
        <v>7</v>
      </c>
      <c r="D3" s="16"/>
      <c r="E3" s="48" t="s">
        <v>6</v>
      </c>
      <c r="F3" s="48" t="s">
        <v>7</v>
      </c>
      <c r="G3" s="11"/>
      <c r="H3" s="8" t="s">
        <v>12</v>
      </c>
      <c r="I3" s="8" t="s">
        <v>6</v>
      </c>
      <c r="J3" s="8" t="s">
        <v>7</v>
      </c>
      <c r="L3" s="8" t="s">
        <v>12</v>
      </c>
      <c r="M3" s="8" t="s">
        <v>6</v>
      </c>
      <c r="N3" s="8" t="s">
        <v>7</v>
      </c>
      <c r="P3" s="8" t="s">
        <v>12</v>
      </c>
      <c r="Q3" s="8" t="s">
        <v>6</v>
      </c>
      <c r="R3" s="8" t="s">
        <v>7</v>
      </c>
      <c r="T3" s="8" t="s">
        <v>12</v>
      </c>
      <c r="U3" s="8" t="s">
        <v>6</v>
      </c>
      <c r="V3" s="8" t="s">
        <v>7</v>
      </c>
      <c r="X3" s="8" t="s">
        <v>12</v>
      </c>
      <c r="Y3" s="8" t="s">
        <v>6</v>
      </c>
      <c r="Z3" s="8" t="s">
        <v>7</v>
      </c>
      <c r="AB3" s="8" t="s">
        <v>12</v>
      </c>
      <c r="AC3" s="8" t="s">
        <v>6</v>
      </c>
      <c r="AD3" s="8" t="s">
        <v>7</v>
      </c>
      <c r="AF3" s="8" t="s">
        <v>12</v>
      </c>
      <c r="AG3" s="8" t="s">
        <v>6</v>
      </c>
      <c r="AH3" s="8" t="s">
        <v>7</v>
      </c>
      <c r="AJ3" s="8" t="s">
        <v>12</v>
      </c>
      <c r="AK3" s="8" t="s">
        <v>6</v>
      </c>
      <c r="AL3" s="8" t="s">
        <v>7</v>
      </c>
      <c r="AN3" s="8" t="s">
        <v>12</v>
      </c>
      <c r="AO3" s="8" t="s">
        <v>6</v>
      </c>
      <c r="AP3" s="8" t="s">
        <v>7</v>
      </c>
      <c r="AR3" s="8" t="s">
        <v>12</v>
      </c>
      <c r="AS3" s="8" t="s">
        <v>6</v>
      </c>
      <c r="AT3" s="8" t="s">
        <v>7</v>
      </c>
      <c r="AV3" s="8" t="s">
        <v>12</v>
      </c>
      <c r="AW3" s="8" t="s">
        <v>6</v>
      </c>
      <c r="AX3" s="8" t="s">
        <v>7</v>
      </c>
    </row>
    <row r="4" spans="1:50">
      <c r="A4" s="49">
        <v>1</v>
      </c>
      <c r="B4" s="20">
        <v>1</v>
      </c>
      <c r="C4" s="20">
        <v>1.3999999999999999E-4</v>
      </c>
      <c r="D4" s="16"/>
      <c r="E4" s="50">
        <v>1</v>
      </c>
      <c r="F4" s="50">
        <v>1.0499999999999999E-3</v>
      </c>
      <c r="G4" s="11"/>
      <c r="H4">
        <f>'Loft Viewer'!C10</f>
        <v>91.666666666666657</v>
      </c>
      <c r="I4">
        <f t="shared" ref="I4:I33" si="0">E4+(B4-E4)*H4/100</f>
        <v>1</v>
      </c>
      <c r="J4">
        <f t="shared" ref="J4:J33" si="1">F4+(C4-F4)*H4/100</f>
        <v>2.1583333333333339E-4</v>
      </c>
      <c r="L4">
        <f>'Loft Viewer'!D10</f>
        <v>83.333333333333329</v>
      </c>
      <c r="M4">
        <f t="shared" ref="M4:M33" si="2">E4+(B4-E4)*L4/100</f>
        <v>1</v>
      </c>
      <c r="N4">
        <f t="shared" ref="N4:N33" si="3">F4+(C4-F4)*L4/100</f>
        <v>2.9166666666666653E-4</v>
      </c>
      <c r="P4">
        <f>'Loft Viewer'!E10</f>
        <v>75</v>
      </c>
      <c r="Q4">
        <f t="shared" ref="Q4:Q33" si="4">E4+(B4-E4)*P4/100</f>
        <v>1</v>
      </c>
      <c r="R4">
        <f t="shared" ref="R4:R33" si="5">F4+(C4-F4)*P4/100</f>
        <v>3.6749999999999988E-4</v>
      </c>
      <c r="T4">
        <f>'Loft Viewer'!F10</f>
        <v>66.666666666666657</v>
      </c>
      <c r="U4">
        <f t="shared" ref="U4:U33" si="6">E4+(B4-E4)*T4/100</f>
        <v>1</v>
      </c>
      <c r="V4">
        <f t="shared" ref="V4:V33" si="7">F4+(C4-F4)*T4/100</f>
        <v>4.4333333333333334E-4</v>
      </c>
      <c r="X4">
        <f>'Loft Viewer'!G10</f>
        <v>58.333333333333329</v>
      </c>
      <c r="Y4">
        <f t="shared" ref="Y4:Y33" si="8">E4+(B4-E4)*X4/100</f>
        <v>1</v>
      </c>
      <c r="Z4">
        <f t="shared" ref="Z4:Z33" si="9">F4+(C4-F4)*X4/100</f>
        <v>5.1916666666666669E-4</v>
      </c>
      <c r="AB4">
        <f>'Loft Viewer'!H10</f>
        <v>49.999999999999993</v>
      </c>
      <c r="AC4">
        <f t="shared" ref="AC4:AC33" si="10">E4+(B4-E4)*AB4/100</f>
        <v>1</v>
      </c>
      <c r="AD4">
        <f t="shared" ref="AD4:AD33" si="11">F4+(C4-F4)*AB4/100</f>
        <v>5.9500000000000004E-4</v>
      </c>
      <c r="AF4">
        <f>'Loft Viewer'!I10</f>
        <v>41.666666666666664</v>
      </c>
      <c r="AG4">
        <f t="shared" ref="AG4:AG33" si="12">E4+(B4-E4)*AF4/100</f>
        <v>1</v>
      </c>
      <c r="AH4">
        <f t="shared" ref="AH4:AH33" si="13">F4+(C4-F4)*AF4/100</f>
        <v>6.7083333333333318E-4</v>
      </c>
      <c r="AJ4">
        <f>'Loft Viewer'!J10</f>
        <v>33.333333333333329</v>
      </c>
      <c r="AK4">
        <f t="shared" ref="AK4:AK33" si="14">E4+(B4-E4)*AJ4/100</f>
        <v>1</v>
      </c>
      <c r="AL4">
        <f t="shared" ref="AL4:AL33" si="15">F4+(C4-F4)*AJ4/100</f>
        <v>7.4666666666666664E-4</v>
      </c>
      <c r="AN4">
        <f>'Loft Viewer'!K10</f>
        <v>25</v>
      </c>
      <c r="AO4">
        <f t="shared" ref="AO4:AO33" si="16">E4+(B4-E4)*AN4/100</f>
        <v>1</v>
      </c>
      <c r="AP4">
        <f t="shared" ref="AP4:AP33" si="17">F4+(C4-F4)*AN4/100</f>
        <v>8.2249999999999988E-4</v>
      </c>
      <c r="AR4">
        <f>'Loft Viewer'!L10</f>
        <v>16.666666666666657</v>
      </c>
      <c r="AS4">
        <f t="shared" ref="AS4:AS33" si="18">E4+(B4-E4)*AR4/100</f>
        <v>1</v>
      </c>
      <c r="AT4">
        <f t="shared" ref="AT4:AT33" si="19">F4+(C4-F4)*AR4/100</f>
        <v>8.9833333333333334E-4</v>
      </c>
      <c r="AV4">
        <f>'Loft Viewer'!N10</f>
        <v>0</v>
      </c>
      <c r="AW4">
        <f t="shared" ref="AW4:AW33" si="20">E4+(B4-E4)*AV4/100</f>
        <v>1</v>
      </c>
      <c r="AX4">
        <f t="shared" ref="AX4:AX33" si="21">F4+(C4-F4)*AV4/100</f>
        <v>1.0499999999999999E-3</v>
      </c>
    </row>
    <row r="5" spans="1:50">
      <c r="A5" s="49">
        <v>2</v>
      </c>
      <c r="B5" s="20">
        <v>0.95121999999999995</v>
      </c>
      <c r="C5" s="20">
        <v>5.6100000000000004E-3</v>
      </c>
      <c r="D5" s="16"/>
      <c r="E5" s="50">
        <v>0.95823000000000003</v>
      </c>
      <c r="F5" s="50">
        <v>5.8100000000000001E-3</v>
      </c>
      <c r="G5" s="11"/>
      <c r="H5">
        <f>H4</f>
        <v>91.666666666666657</v>
      </c>
      <c r="I5">
        <f t="shared" si="0"/>
        <v>0.95180416666666667</v>
      </c>
      <c r="J5">
        <f t="shared" si="1"/>
        <v>5.626666666666667E-3</v>
      </c>
      <c r="L5">
        <f>L4</f>
        <v>83.333333333333329</v>
      </c>
      <c r="M5">
        <f t="shared" si="2"/>
        <v>0.95238833333333328</v>
      </c>
      <c r="N5">
        <f t="shared" si="3"/>
        <v>5.6433333333333335E-3</v>
      </c>
      <c r="P5">
        <f>P4</f>
        <v>75</v>
      </c>
      <c r="Q5">
        <f t="shared" si="4"/>
        <v>0.9529725</v>
      </c>
      <c r="R5">
        <f t="shared" si="5"/>
        <v>5.6600000000000001E-3</v>
      </c>
      <c r="T5">
        <f>T4</f>
        <v>66.666666666666657</v>
      </c>
      <c r="U5">
        <f t="shared" si="6"/>
        <v>0.95355666666666661</v>
      </c>
      <c r="V5">
        <f t="shared" si="7"/>
        <v>5.6766666666666667E-3</v>
      </c>
      <c r="X5">
        <f>X4</f>
        <v>58.333333333333329</v>
      </c>
      <c r="Y5">
        <f t="shared" si="8"/>
        <v>0.95414083333333333</v>
      </c>
      <c r="Z5">
        <f t="shared" si="9"/>
        <v>5.6933333333333332E-3</v>
      </c>
      <c r="AB5">
        <f>AB4</f>
        <v>49.999999999999993</v>
      </c>
      <c r="AC5">
        <f t="shared" si="10"/>
        <v>0.95472500000000005</v>
      </c>
      <c r="AD5">
        <f t="shared" si="11"/>
        <v>5.7100000000000007E-3</v>
      </c>
      <c r="AF5">
        <f>AF4</f>
        <v>41.666666666666664</v>
      </c>
      <c r="AG5">
        <f t="shared" si="12"/>
        <v>0.95530916666666665</v>
      </c>
      <c r="AH5">
        <f t="shared" si="13"/>
        <v>5.7266666666666672E-3</v>
      </c>
      <c r="AJ5">
        <f>AJ4</f>
        <v>33.333333333333329</v>
      </c>
      <c r="AK5">
        <f t="shared" si="14"/>
        <v>0.95589333333333337</v>
      </c>
      <c r="AL5">
        <f t="shared" si="15"/>
        <v>5.7433333333333338E-3</v>
      </c>
      <c r="AN5">
        <f>AN4</f>
        <v>25</v>
      </c>
      <c r="AO5">
        <f t="shared" si="16"/>
        <v>0.95647749999999998</v>
      </c>
      <c r="AP5">
        <f t="shared" si="17"/>
        <v>5.7600000000000004E-3</v>
      </c>
      <c r="AR5">
        <f>AR4</f>
        <v>16.666666666666657</v>
      </c>
      <c r="AS5">
        <f t="shared" si="18"/>
        <v>0.9570616666666667</v>
      </c>
      <c r="AT5">
        <f t="shared" si="19"/>
        <v>5.7766666666666669E-3</v>
      </c>
      <c r="AV5">
        <f>AV4</f>
        <v>0</v>
      </c>
      <c r="AW5">
        <f t="shared" si="20"/>
        <v>0.95823000000000003</v>
      </c>
      <c r="AX5">
        <f t="shared" si="21"/>
        <v>5.8100000000000001E-3</v>
      </c>
    </row>
    <row r="6" spans="1:50">
      <c r="A6" s="49">
        <v>3</v>
      </c>
      <c r="B6" s="20">
        <v>0.86626999999999998</v>
      </c>
      <c r="C6" s="20">
        <v>1.6240000000000001E-2</v>
      </c>
      <c r="D6" s="16"/>
      <c r="E6" s="50">
        <v>0.87217999999999996</v>
      </c>
      <c r="F6" s="50">
        <v>1.49E-2</v>
      </c>
      <c r="G6" s="11"/>
      <c r="H6">
        <f t="shared" ref="H6:H33" si="22">H5</f>
        <v>91.666666666666657</v>
      </c>
      <c r="I6">
        <f t="shared" si="0"/>
        <v>0.86676249999999999</v>
      </c>
      <c r="J6">
        <f t="shared" si="1"/>
        <v>1.6128333333333335E-2</v>
      </c>
      <c r="L6">
        <f t="shared" ref="L6:L33" si="23">L5</f>
        <v>83.333333333333329</v>
      </c>
      <c r="M6">
        <f t="shared" si="2"/>
        <v>0.867255</v>
      </c>
      <c r="N6">
        <f t="shared" si="3"/>
        <v>1.6016666666666669E-2</v>
      </c>
      <c r="P6">
        <f t="shared" ref="P6:P33" si="24">P5</f>
        <v>75</v>
      </c>
      <c r="Q6">
        <f t="shared" si="4"/>
        <v>0.8677475</v>
      </c>
      <c r="R6">
        <f t="shared" si="5"/>
        <v>1.5905000000000002E-2</v>
      </c>
      <c r="T6">
        <f t="shared" ref="T6:T33" si="25">T5</f>
        <v>66.666666666666657</v>
      </c>
      <c r="U6">
        <f t="shared" si="6"/>
        <v>0.86824000000000001</v>
      </c>
      <c r="V6">
        <f t="shared" si="7"/>
        <v>1.5793333333333333E-2</v>
      </c>
      <c r="X6">
        <f t="shared" ref="X6:X33" si="26">X5</f>
        <v>58.333333333333329</v>
      </c>
      <c r="Y6">
        <f t="shared" si="8"/>
        <v>0.86873250000000002</v>
      </c>
      <c r="Z6">
        <f t="shared" si="9"/>
        <v>1.5681666666666667E-2</v>
      </c>
      <c r="AB6">
        <f t="shared" ref="AB6:AB33" si="27">AB5</f>
        <v>49.999999999999993</v>
      </c>
      <c r="AC6">
        <f t="shared" si="10"/>
        <v>0.86922500000000003</v>
      </c>
      <c r="AD6">
        <f t="shared" si="11"/>
        <v>1.5570000000000001E-2</v>
      </c>
      <c r="AF6">
        <f t="shared" ref="AF6:AF33" si="28">AF5</f>
        <v>41.666666666666664</v>
      </c>
      <c r="AG6">
        <f t="shared" si="12"/>
        <v>0.86971749999999992</v>
      </c>
      <c r="AH6">
        <f t="shared" si="13"/>
        <v>1.5458333333333334E-2</v>
      </c>
      <c r="AJ6">
        <f t="shared" ref="AJ6:AJ33" si="29">AJ5</f>
        <v>33.333333333333329</v>
      </c>
      <c r="AK6">
        <f t="shared" si="14"/>
        <v>0.87020999999999993</v>
      </c>
      <c r="AL6">
        <f t="shared" si="15"/>
        <v>1.5346666666666666E-2</v>
      </c>
      <c r="AN6">
        <f t="shared" ref="AN6:AN33" si="30">AN5</f>
        <v>25</v>
      </c>
      <c r="AO6">
        <f t="shared" si="16"/>
        <v>0.87070249999999993</v>
      </c>
      <c r="AP6">
        <f t="shared" si="17"/>
        <v>1.5235E-2</v>
      </c>
      <c r="AR6">
        <f t="shared" ref="AR6:AR33" si="31">AR5</f>
        <v>16.666666666666657</v>
      </c>
      <c r="AS6">
        <f t="shared" si="18"/>
        <v>0.87119499999999994</v>
      </c>
      <c r="AT6">
        <f t="shared" si="19"/>
        <v>1.5123333333333334E-2</v>
      </c>
      <c r="AV6">
        <f t="shared" ref="AV6:AV33" si="32">AV5</f>
        <v>0</v>
      </c>
      <c r="AW6">
        <f t="shared" si="20"/>
        <v>0.87217999999999996</v>
      </c>
      <c r="AX6">
        <f t="shared" si="21"/>
        <v>1.49E-2</v>
      </c>
    </row>
    <row r="7" spans="1:50">
      <c r="A7" s="49">
        <v>4</v>
      </c>
      <c r="B7" s="20">
        <v>0.78124000000000005</v>
      </c>
      <c r="C7" s="20">
        <v>2.8649999999999998E-2</v>
      </c>
      <c r="D7" s="16"/>
      <c r="E7" s="50">
        <v>0.78420000000000001</v>
      </c>
      <c r="F7" s="50">
        <v>2.3300000000000001E-2</v>
      </c>
      <c r="G7" s="11"/>
      <c r="H7">
        <f t="shared" si="22"/>
        <v>91.666666666666657</v>
      </c>
      <c r="I7">
        <f t="shared" si="0"/>
        <v>0.78148666666666666</v>
      </c>
      <c r="J7">
        <f t="shared" si="1"/>
        <v>2.8204166666666666E-2</v>
      </c>
      <c r="L7">
        <f t="shared" si="23"/>
        <v>83.333333333333329</v>
      </c>
      <c r="M7">
        <f t="shared" si="2"/>
        <v>0.78173333333333339</v>
      </c>
      <c r="N7">
        <f t="shared" si="3"/>
        <v>2.7758333333333333E-2</v>
      </c>
      <c r="P7">
        <f t="shared" si="24"/>
        <v>75</v>
      </c>
      <c r="Q7">
        <f t="shared" si="4"/>
        <v>0.78198000000000001</v>
      </c>
      <c r="R7">
        <f t="shared" si="5"/>
        <v>2.73125E-2</v>
      </c>
      <c r="T7">
        <f t="shared" si="25"/>
        <v>66.666666666666657</v>
      </c>
      <c r="U7">
        <f t="shared" si="6"/>
        <v>0.78222666666666674</v>
      </c>
      <c r="V7">
        <f t="shared" si="7"/>
        <v>2.6866666666666664E-2</v>
      </c>
      <c r="X7">
        <f t="shared" si="26"/>
        <v>58.333333333333329</v>
      </c>
      <c r="Y7">
        <f t="shared" si="8"/>
        <v>0.78247333333333335</v>
      </c>
      <c r="Z7">
        <f t="shared" si="9"/>
        <v>2.6420833333333331E-2</v>
      </c>
      <c r="AB7">
        <f t="shared" si="27"/>
        <v>49.999999999999993</v>
      </c>
      <c r="AC7">
        <f t="shared" si="10"/>
        <v>0.78272000000000008</v>
      </c>
      <c r="AD7">
        <f t="shared" si="11"/>
        <v>2.5974999999999998E-2</v>
      </c>
      <c r="AF7">
        <f t="shared" si="28"/>
        <v>41.666666666666664</v>
      </c>
      <c r="AG7">
        <f t="shared" si="12"/>
        <v>0.7829666666666667</v>
      </c>
      <c r="AH7">
        <f t="shared" si="13"/>
        <v>2.5529166666666665E-2</v>
      </c>
      <c r="AJ7">
        <f t="shared" si="29"/>
        <v>33.333333333333329</v>
      </c>
      <c r="AK7">
        <f t="shared" si="14"/>
        <v>0.78321333333333332</v>
      </c>
      <c r="AL7">
        <f t="shared" si="15"/>
        <v>2.5083333333333332E-2</v>
      </c>
      <c r="AN7">
        <f t="shared" si="30"/>
        <v>25</v>
      </c>
      <c r="AO7">
        <f t="shared" si="16"/>
        <v>0.78346000000000005</v>
      </c>
      <c r="AP7">
        <f t="shared" si="17"/>
        <v>2.46375E-2</v>
      </c>
      <c r="AR7">
        <f t="shared" si="31"/>
        <v>16.666666666666657</v>
      </c>
      <c r="AS7">
        <f t="shared" si="18"/>
        <v>0.78370666666666666</v>
      </c>
      <c r="AT7">
        <f t="shared" si="19"/>
        <v>2.4191666666666667E-2</v>
      </c>
      <c r="AV7">
        <f t="shared" si="32"/>
        <v>0</v>
      </c>
      <c r="AW7">
        <f t="shared" si="20"/>
        <v>0.78420000000000001</v>
      </c>
      <c r="AX7">
        <f t="shared" si="21"/>
        <v>2.3300000000000001E-2</v>
      </c>
    </row>
    <row r="8" spans="1:50">
      <c r="A8" s="49">
        <v>5</v>
      </c>
      <c r="B8" s="20">
        <v>0.69625999999999999</v>
      </c>
      <c r="C8" s="20">
        <v>4.2659999999999997E-2</v>
      </c>
      <c r="D8" s="16"/>
      <c r="E8" s="50">
        <v>0.69613000000000003</v>
      </c>
      <c r="F8" s="50">
        <v>3.0849999999999999E-2</v>
      </c>
      <c r="G8" s="11"/>
      <c r="H8">
        <f t="shared" si="22"/>
        <v>91.666666666666657</v>
      </c>
      <c r="I8">
        <f t="shared" si="0"/>
        <v>0.6962491666666667</v>
      </c>
      <c r="J8">
        <f t="shared" si="1"/>
        <v>4.1675833333333329E-2</v>
      </c>
      <c r="L8">
        <f t="shared" si="23"/>
        <v>83.333333333333329</v>
      </c>
      <c r="M8">
        <f t="shared" si="2"/>
        <v>0.69623833333333329</v>
      </c>
      <c r="N8">
        <f t="shared" si="3"/>
        <v>4.0691666666666661E-2</v>
      </c>
      <c r="P8">
        <f t="shared" si="24"/>
        <v>75</v>
      </c>
      <c r="Q8">
        <f t="shared" si="4"/>
        <v>0.6962275</v>
      </c>
      <c r="R8">
        <f t="shared" si="5"/>
        <v>3.9707499999999993E-2</v>
      </c>
      <c r="T8">
        <f t="shared" si="25"/>
        <v>66.666666666666657</v>
      </c>
      <c r="U8">
        <f t="shared" si="6"/>
        <v>0.69621666666666671</v>
      </c>
      <c r="V8">
        <f t="shared" si="7"/>
        <v>3.8723333333333332E-2</v>
      </c>
      <c r="X8">
        <f t="shared" si="26"/>
        <v>58.333333333333329</v>
      </c>
      <c r="Y8">
        <f t="shared" si="8"/>
        <v>0.6962058333333333</v>
      </c>
      <c r="Z8">
        <f t="shared" si="9"/>
        <v>3.7739166666666664E-2</v>
      </c>
      <c r="AB8">
        <f t="shared" si="27"/>
        <v>49.999999999999993</v>
      </c>
      <c r="AC8">
        <f t="shared" si="10"/>
        <v>0.69619500000000001</v>
      </c>
      <c r="AD8">
        <f t="shared" si="11"/>
        <v>3.6754999999999996E-2</v>
      </c>
      <c r="AF8">
        <f t="shared" si="28"/>
        <v>41.666666666666664</v>
      </c>
      <c r="AG8">
        <f t="shared" si="12"/>
        <v>0.69618416666666671</v>
      </c>
      <c r="AH8">
        <f t="shared" si="13"/>
        <v>3.5770833333333328E-2</v>
      </c>
      <c r="AJ8">
        <f t="shared" si="29"/>
        <v>33.333333333333329</v>
      </c>
      <c r="AK8">
        <f t="shared" si="14"/>
        <v>0.69617333333333331</v>
      </c>
      <c r="AL8">
        <f t="shared" si="15"/>
        <v>3.4786666666666667E-2</v>
      </c>
      <c r="AN8">
        <f t="shared" si="30"/>
        <v>25</v>
      </c>
      <c r="AO8">
        <f t="shared" si="16"/>
        <v>0.69616250000000002</v>
      </c>
      <c r="AP8">
        <f t="shared" si="17"/>
        <v>3.3802499999999999E-2</v>
      </c>
      <c r="AR8">
        <f t="shared" si="31"/>
        <v>16.666666666666657</v>
      </c>
      <c r="AS8">
        <f t="shared" si="18"/>
        <v>0.69615166666666672</v>
      </c>
      <c r="AT8">
        <f t="shared" si="19"/>
        <v>3.2818333333333331E-2</v>
      </c>
      <c r="AV8">
        <f t="shared" si="32"/>
        <v>0</v>
      </c>
      <c r="AW8">
        <f t="shared" si="20"/>
        <v>0.69613000000000003</v>
      </c>
      <c r="AX8">
        <f t="shared" si="21"/>
        <v>3.0849999999999999E-2</v>
      </c>
    </row>
    <row r="9" spans="1:50">
      <c r="A9" s="49">
        <v>6</v>
      </c>
      <c r="B9" s="20">
        <v>0.61146</v>
      </c>
      <c r="C9" s="20">
        <v>5.8369999999999998E-2</v>
      </c>
      <c r="D9" s="16"/>
      <c r="E9" s="50">
        <v>0.60809000000000002</v>
      </c>
      <c r="F9" s="50">
        <v>3.7470000000000003E-2</v>
      </c>
      <c r="G9" s="11"/>
      <c r="H9">
        <f t="shared" si="22"/>
        <v>91.666666666666657</v>
      </c>
      <c r="I9">
        <f t="shared" si="0"/>
        <v>0.61117916666666672</v>
      </c>
      <c r="J9">
        <f t="shared" si="1"/>
        <v>5.6628333333333329E-2</v>
      </c>
      <c r="L9">
        <f t="shared" si="23"/>
        <v>83.333333333333329</v>
      </c>
      <c r="M9">
        <f t="shared" si="2"/>
        <v>0.61089833333333332</v>
      </c>
      <c r="N9">
        <f t="shared" si="3"/>
        <v>5.4886666666666667E-2</v>
      </c>
      <c r="P9">
        <f t="shared" si="24"/>
        <v>75</v>
      </c>
      <c r="Q9">
        <f t="shared" si="4"/>
        <v>0.61061750000000004</v>
      </c>
      <c r="R9">
        <f t="shared" si="5"/>
        <v>5.3144999999999998E-2</v>
      </c>
      <c r="T9">
        <f t="shared" si="25"/>
        <v>66.666666666666657</v>
      </c>
      <c r="U9">
        <f t="shared" si="6"/>
        <v>0.61033666666666664</v>
      </c>
      <c r="V9">
        <f t="shared" si="7"/>
        <v>5.1403333333333329E-2</v>
      </c>
      <c r="X9">
        <f t="shared" si="26"/>
        <v>58.333333333333329</v>
      </c>
      <c r="Y9">
        <f t="shared" si="8"/>
        <v>0.61005583333333335</v>
      </c>
      <c r="Z9">
        <f t="shared" si="9"/>
        <v>4.9661666666666666E-2</v>
      </c>
      <c r="AB9">
        <f t="shared" si="27"/>
        <v>49.999999999999993</v>
      </c>
      <c r="AC9">
        <f t="shared" si="10"/>
        <v>0.60977499999999996</v>
      </c>
      <c r="AD9">
        <f t="shared" si="11"/>
        <v>4.7920000000000004E-2</v>
      </c>
      <c r="AF9">
        <f t="shared" si="28"/>
        <v>41.666666666666664</v>
      </c>
      <c r="AG9">
        <f t="shared" si="12"/>
        <v>0.60949416666666667</v>
      </c>
      <c r="AH9">
        <f t="shared" si="13"/>
        <v>4.6178333333333335E-2</v>
      </c>
      <c r="AJ9">
        <f t="shared" si="29"/>
        <v>33.333333333333329</v>
      </c>
      <c r="AK9">
        <f t="shared" si="14"/>
        <v>0.60921333333333338</v>
      </c>
      <c r="AL9">
        <f t="shared" si="15"/>
        <v>4.4436666666666666E-2</v>
      </c>
      <c r="AN9">
        <f t="shared" si="30"/>
        <v>25</v>
      </c>
      <c r="AO9">
        <f t="shared" si="16"/>
        <v>0.60893249999999999</v>
      </c>
      <c r="AP9">
        <f t="shared" si="17"/>
        <v>4.2695000000000004E-2</v>
      </c>
      <c r="AR9">
        <f t="shared" si="31"/>
        <v>16.666666666666657</v>
      </c>
      <c r="AS9">
        <f t="shared" si="18"/>
        <v>0.6086516666666667</v>
      </c>
      <c r="AT9">
        <f t="shared" si="19"/>
        <v>4.0953333333333335E-2</v>
      </c>
      <c r="AV9">
        <f t="shared" si="32"/>
        <v>0</v>
      </c>
      <c r="AW9">
        <f t="shared" si="20"/>
        <v>0.60809000000000002</v>
      </c>
      <c r="AX9">
        <f t="shared" si="21"/>
        <v>3.7470000000000003E-2</v>
      </c>
    </row>
    <row r="10" spans="1:50">
      <c r="A10" s="49">
        <v>7</v>
      </c>
      <c r="B10" s="20">
        <v>0.52680000000000005</v>
      </c>
      <c r="C10" s="20">
        <v>7.4260000000000007E-2</v>
      </c>
      <c r="D10" s="16"/>
      <c r="E10" s="50">
        <v>0.52019000000000004</v>
      </c>
      <c r="F10" s="50">
        <v>4.3020000000000003E-2</v>
      </c>
      <c r="G10" s="11"/>
      <c r="H10">
        <f t="shared" si="22"/>
        <v>91.666666666666657</v>
      </c>
      <c r="I10">
        <f t="shared" si="0"/>
        <v>0.52624916666666666</v>
      </c>
      <c r="J10">
        <f t="shared" si="1"/>
        <v>7.1656666666666674E-2</v>
      </c>
      <c r="L10">
        <f t="shared" si="23"/>
        <v>83.333333333333329</v>
      </c>
      <c r="M10">
        <f t="shared" si="2"/>
        <v>0.52569833333333338</v>
      </c>
      <c r="N10">
        <f t="shared" si="3"/>
        <v>6.9053333333333342E-2</v>
      </c>
      <c r="P10">
        <f t="shared" si="24"/>
        <v>75</v>
      </c>
      <c r="Q10">
        <f t="shared" si="4"/>
        <v>0.5251475000000001</v>
      </c>
      <c r="R10">
        <f t="shared" si="5"/>
        <v>6.6450000000000009E-2</v>
      </c>
      <c r="T10">
        <f t="shared" si="25"/>
        <v>66.666666666666657</v>
      </c>
      <c r="U10">
        <f t="shared" si="6"/>
        <v>0.52459666666666671</v>
      </c>
      <c r="V10">
        <f t="shared" si="7"/>
        <v>6.3846666666666663E-2</v>
      </c>
      <c r="X10">
        <f t="shared" si="26"/>
        <v>58.333333333333329</v>
      </c>
      <c r="Y10">
        <f t="shared" si="8"/>
        <v>0.52404583333333332</v>
      </c>
      <c r="Z10">
        <f t="shared" si="9"/>
        <v>6.1243333333333337E-2</v>
      </c>
      <c r="AB10">
        <f t="shared" si="27"/>
        <v>49.999999999999993</v>
      </c>
      <c r="AC10">
        <f t="shared" si="10"/>
        <v>0.52349500000000004</v>
      </c>
      <c r="AD10">
        <f t="shared" si="11"/>
        <v>5.8640000000000005E-2</v>
      </c>
      <c r="AF10">
        <f t="shared" si="28"/>
        <v>41.666666666666664</v>
      </c>
      <c r="AG10">
        <f t="shared" si="12"/>
        <v>0.52294416666666677</v>
      </c>
      <c r="AH10">
        <f t="shared" si="13"/>
        <v>5.6036666666666672E-2</v>
      </c>
      <c r="AJ10">
        <f t="shared" si="29"/>
        <v>33.333333333333329</v>
      </c>
      <c r="AK10">
        <f t="shared" si="14"/>
        <v>0.52239333333333338</v>
      </c>
      <c r="AL10">
        <f t="shared" si="15"/>
        <v>5.3433333333333333E-2</v>
      </c>
      <c r="AN10">
        <f t="shared" si="30"/>
        <v>25</v>
      </c>
      <c r="AO10">
        <f t="shared" si="16"/>
        <v>0.52184249999999999</v>
      </c>
      <c r="AP10">
        <f t="shared" si="17"/>
        <v>5.083E-2</v>
      </c>
      <c r="AR10">
        <f t="shared" si="31"/>
        <v>16.666666666666657</v>
      </c>
      <c r="AS10">
        <f t="shared" si="18"/>
        <v>0.52129166666666671</v>
      </c>
      <c r="AT10">
        <f t="shared" si="19"/>
        <v>4.8226666666666668E-2</v>
      </c>
      <c r="AV10">
        <f t="shared" si="32"/>
        <v>0</v>
      </c>
      <c r="AW10">
        <f t="shared" si="20"/>
        <v>0.52019000000000004</v>
      </c>
      <c r="AX10">
        <f t="shared" si="21"/>
        <v>4.3020000000000003E-2</v>
      </c>
    </row>
    <row r="11" spans="1:50">
      <c r="A11" s="49">
        <v>8</v>
      </c>
      <c r="B11" s="20">
        <v>0.44248999999999999</v>
      </c>
      <c r="C11" s="20">
        <v>8.7239999999999998E-2</v>
      </c>
      <c r="D11" s="16"/>
      <c r="E11" s="50">
        <v>0.43256</v>
      </c>
      <c r="F11" s="50">
        <v>4.7219999999999998E-2</v>
      </c>
      <c r="G11" s="11"/>
      <c r="H11">
        <f t="shared" si="22"/>
        <v>91.666666666666657</v>
      </c>
      <c r="I11">
        <f t="shared" si="0"/>
        <v>0.44166250000000001</v>
      </c>
      <c r="J11">
        <f t="shared" si="1"/>
        <v>8.3904999999999993E-2</v>
      </c>
      <c r="L11">
        <f t="shared" si="23"/>
        <v>83.333333333333329</v>
      </c>
      <c r="M11">
        <f t="shared" si="2"/>
        <v>0.44083499999999998</v>
      </c>
      <c r="N11">
        <f t="shared" si="3"/>
        <v>8.0570000000000003E-2</v>
      </c>
      <c r="P11">
        <f t="shared" si="24"/>
        <v>75</v>
      </c>
      <c r="Q11">
        <f t="shared" si="4"/>
        <v>0.4400075</v>
      </c>
      <c r="R11">
        <f t="shared" si="5"/>
        <v>7.7234999999999998E-2</v>
      </c>
      <c r="T11">
        <f t="shared" si="25"/>
        <v>66.666666666666657</v>
      </c>
      <c r="U11">
        <f t="shared" si="6"/>
        <v>0.43918000000000001</v>
      </c>
      <c r="V11">
        <f t="shared" si="7"/>
        <v>7.3899999999999993E-2</v>
      </c>
      <c r="X11">
        <f t="shared" si="26"/>
        <v>58.333333333333329</v>
      </c>
      <c r="Y11">
        <f t="shared" si="8"/>
        <v>0.43835249999999998</v>
      </c>
      <c r="Z11">
        <f t="shared" si="9"/>
        <v>7.0564999999999989E-2</v>
      </c>
      <c r="AB11">
        <f t="shared" si="27"/>
        <v>49.999999999999993</v>
      </c>
      <c r="AC11">
        <f t="shared" si="10"/>
        <v>0.437525</v>
      </c>
      <c r="AD11">
        <f t="shared" si="11"/>
        <v>6.7229999999999998E-2</v>
      </c>
      <c r="AF11">
        <f t="shared" si="28"/>
        <v>41.666666666666664</v>
      </c>
      <c r="AG11">
        <f t="shared" si="12"/>
        <v>0.43669750000000002</v>
      </c>
      <c r="AH11">
        <f t="shared" si="13"/>
        <v>6.3894999999999993E-2</v>
      </c>
      <c r="AJ11">
        <f t="shared" si="29"/>
        <v>33.333333333333329</v>
      </c>
      <c r="AK11">
        <f t="shared" si="14"/>
        <v>0.43586999999999998</v>
      </c>
      <c r="AL11">
        <f t="shared" si="15"/>
        <v>6.0559999999999996E-2</v>
      </c>
      <c r="AN11">
        <f t="shared" si="30"/>
        <v>25</v>
      </c>
      <c r="AO11">
        <f t="shared" si="16"/>
        <v>0.4350425</v>
      </c>
      <c r="AP11">
        <f t="shared" si="17"/>
        <v>5.7224999999999998E-2</v>
      </c>
      <c r="AR11">
        <f t="shared" si="31"/>
        <v>16.666666666666657</v>
      </c>
      <c r="AS11">
        <f t="shared" si="18"/>
        <v>0.43421500000000002</v>
      </c>
      <c r="AT11">
        <f t="shared" si="19"/>
        <v>5.3889999999999993E-2</v>
      </c>
      <c r="AV11">
        <f t="shared" si="32"/>
        <v>0</v>
      </c>
      <c r="AW11">
        <f t="shared" si="20"/>
        <v>0.43256</v>
      </c>
      <c r="AX11">
        <f t="shared" si="21"/>
        <v>4.7219999999999998E-2</v>
      </c>
    </row>
    <row r="12" spans="1:50">
      <c r="A12" s="49">
        <v>9</v>
      </c>
      <c r="B12" s="20">
        <v>0.35810999999999998</v>
      </c>
      <c r="C12" s="20">
        <v>9.597E-2</v>
      </c>
      <c r="D12" s="16"/>
      <c r="E12" s="50">
        <v>0.34539999999999998</v>
      </c>
      <c r="F12" s="50">
        <v>4.965E-2</v>
      </c>
      <c r="G12" s="11"/>
      <c r="H12">
        <f t="shared" si="22"/>
        <v>91.666666666666657</v>
      </c>
      <c r="I12">
        <f t="shared" si="0"/>
        <v>0.35705083333333332</v>
      </c>
      <c r="J12">
        <f t="shared" si="1"/>
        <v>9.2109999999999997E-2</v>
      </c>
      <c r="L12">
        <f t="shared" si="23"/>
        <v>83.333333333333329</v>
      </c>
      <c r="M12">
        <f t="shared" si="2"/>
        <v>0.35599166666666665</v>
      </c>
      <c r="N12">
        <f t="shared" si="3"/>
        <v>8.8249999999999995E-2</v>
      </c>
      <c r="P12">
        <f t="shared" si="24"/>
        <v>75</v>
      </c>
      <c r="Q12">
        <f t="shared" si="4"/>
        <v>0.35493249999999998</v>
      </c>
      <c r="R12">
        <f t="shared" si="5"/>
        <v>8.4389999999999993E-2</v>
      </c>
      <c r="T12">
        <f t="shared" si="25"/>
        <v>66.666666666666657</v>
      </c>
      <c r="U12">
        <f t="shared" si="6"/>
        <v>0.35387333333333332</v>
      </c>
      <c r="V12">
        <f t="shared" si="7"/>
        <v>8.052999999999999E-2</v>
      </c>
      <c r="X12">
        <f t="shared" si="26"/>
        <v>58.333333333333329</v>
      </c>
      <c r="Y12">
        <f t="shared" si="8"/>
        <v>0.35281416666666665</v>
      </c>
      <c r="Z12">
        <f t="shared" si="9"/>
        <v>7.6670000000000002E-2</v>
      </c>
      <c r="AB12">
        <f t="shared" si="27"/>
        <v>49.999999999999993</v>
      </c>
      <c r="AC12">
        <f t="shared" si="10"/>
        <v>0.35175499999999998</v>
      </c>
      <c r="AD12">
        <f t="shared" si="11"/>
        <v>7.281E-2</v>
      </c>
      <c r="AF12">
        <f t="shared" si="28"/>
        <v>41.666666666666664</v>
      </c>
      <c r="AG12">
        <f t="shared" si="12"/>
        <v>0.35069583333333332</v>
      </c>
      <c r="AH12">
        <f t="shared" si="13"/>
        <v>6.8949999999999997E-2</v>
      </c>
      <c r="AJ12">
        <f t="shared" si="29"/>
        <v>33.333333333333329</v>
      </c>
      <c r="AK12">
        <f t="shared" si="14"/>
        <v>0.34963666666666665</v>
      </c>
      <c r="AL12">
        <f t="shared" si="15"/>
        <v>6.5089999999999995E-2</v>
      </c>
      <c r="AN12">
        <f t="shared" si="30"/>
        <v>25</v>
      </c>
      <c r="AO12">
        <f t="shared" si="16"/>
        <v>0.34857749999999998</v>
      </c>
      <c r="AP12">
        <f t="shared" si="17"/>
        <v>6.123E-2</v>
      </c>
      <c r="AR12">
        <f t="shared" si="31"/>
        <v>16.666666666666657</v>
      </c>
      <c r="AS12">
        <f t="shared" si="18"/>
        <v>0.34751833333333332</v>
      </c>
      <c r="AT12">
        <f t="shared" si="19"/>
        <v>5.7369999999999997E-2</v>
      </c>
      <c r="AV12">
        <f t="shared" si="32"/>
        <v>0</v>
      </c>
      <c r="AW12">
        <f t="shared" si="20"/>
        <v>0.34539999999999998</v>
      </c>
      <c r="AX12">
        <f t="shared" si="21"/>
        <v>4.965E-2</v>
      </c>
    </row>
    <row r="13" spans="1:50">
      <c r="A13" s="49">
        <v>10</v>
      </c>
      <c r="B13" s="20">
        <v>0.27444000000000002</v>
      </c>
      <c r="C13" s="20">
        <v>9.7790000000000002E-2</v>
      </c>
      <c r="D13" s="16"/>
      <c r="E13" s="50">
        <v>0.25903999999999999</v>
      </c>
      <c r="F13" s="50">
        <v>4.9680000000000002E-2</v>
      </c>
      <c r="G13" s="11"/>
      <c r="H13">
        <f t="shared" si="22"/>
        <v>91.666666666666657</v>
      </c>
      <c r="I13">
        <f t="shared" si="0"/>
        <v>0.27315666666666666</v>
      </c>
      <c r="J13">
        <f t="shared" si="1"/>
        <v>9.3780833333333327E-2</v>
      </c>
      <c r="L13">
        <f t="shared" si="23"/>
        <v>83.333333333333329</v>
      </c>
      <c r="M13">
        <f t="shared" si="2"/>
        <v>0.27187333333333336</v>
      </c>
      <c r="N13">
        <f t="shared" si="3"/>
        <v>8.9771666666666666E-2</v>
      </c>
      <c r="P13">
        <f t="shared" si="24"/>
        <v>75</v>
      </c>
      <c r="Q13">
        <f t="shared" si="4"/>
        <v>0.27059</v>
      </c>
      <c r="R13">
        <f t="shared" si="5"/>
        <v>8.5762499999999992E-2</v>
      </c>
      <c r="T13">
        <f t="shared" si="25"/>
        <v>66.666666666666657</v>
      </c>
      <c r="U13">
        <f t="shared" si="6"/>
        <v>0.26930666666666669</v>
      </c>
      <c r="V13">
        <f t="shared" si="7"/>
        <v>8.1753333333333331E-2</v>
      </c>
      <c r="X13">
        <f t="shared" si="26"/>
        <v>58.333333333333329</v>
      </c>
      <c r="Y13">
        <f t="shared" si="8"/>
        <v>0.26802333333333334</v>
      </c>
      <c r="Z13">
        <f t="shared" si="9"/>
        <v>7.774416666666667E-2</v>
      </c>
      <c r="AB13">
        <f t="shared" si="27"/>
        <v>49.999999999999993</v>
      </c>
      <c r="AC13">
        <f t="shared" si="10"/>
        <v>0.26673999999999998</v>
      </c>
      <c r="AD13">
        <f t="shared" si="11"/>
        <v>7.3734999999999995E-2</v>
      </c>
      <c r="AF13">
        <f t="shared" si="28"/>
        <v>41.666666666666664</v>
      </c>
      <c r="AG13">
        <f t="shared" si="12"/>
        <v>0.26545666666666667</v>
      </c>
      <c r="AH13">
        <f t="shared" si="13"/>
        <v>6.9725833333333334E-2</v>
      </c>
      <c r="AJ13">
        <f t="shared" si="29"/>
        <v>33.333333333333329</v>
      </c>
      <c r="AK13">
        <f t="shared" si="14"/>
        <v>0.26417333333333332</v>
      </c>
      <c r="AL13">
        <f t="shared" si="15"/>
        <v>6.5716666666666673E-2</v>
      </c>
      <c r="AN13">
        <f t="shared" si="30"/>
        <v>25</v>
      </c>
      <c r="AO13">
        <f t="shared" si="16"/>
        <v>0.26289000000000001</v>
      </c>
      <c r="AP13">
        <f t="shared" si="17"/>
        <v>6.1707499999999998E-2</v>
      </c>
      <c r="AR13">
        <f t="shared" si="31"/>
        <v>16.666666666666657</v>
      </c>
      <c r="AS13">
        <f t="shared" si="18"/>
        <v>0.26160666666666665</v>
      </c>
      <c r="AT13">
        <f t="shared" si="19"/>
        <v>5.7698333333333331E-2</v>
      </c>
      <c r="AV13">
        <f t="shared" si="32"/>
        <v>0</v>
      </c>
      <c r="AW13">
        <f t="shared" si="20"/>
        <v>0.25903999999999999</v>
      </c>
      <c r="AX13">
        <f t="shared" si="21"/>
        <v>4.9680000000000002E-2</v>
      </c>
    </row>
    <row r="14" spans="1:50">
      <c r="A14" s="49">
        <v>11</v>
      </c>
      <c r="B14" s="20">
        <v>0.19114999999999999</v>
      </c>
      <c r="C14" s="20">
        <v>9.2439999999999994E-2</v>
      </c>
      <c r="D14" s="16"/>
      <c r="E14" s="50">
        <v>0.17424999999999999</v>
      </c>
      <c r="F14" s="50">
        <v>4.6359999999999998E-2</v>
      </c>
      <c r="G14" s="11"/>
      <c r="H14">
        <f t="shared" si="22"/>
        <v>91.666666666666657</v>
      </c>
      <c r="I14">
        <f t="shared" si="0"/>
        <v>0.18974166666666664</v>
      </c>
      <c r="J14">
        <f t="shared" si="1"/>
        <v>8.8599999999999984E-2</v>
      </c>
      <c r="L14">
        <f t="shared" si="23"/>
        <v>83.333333333333329</v>
      </c>
      <c r="M14">
        <f t="shared" si="2"/>
        <v>0.18833333333333332</v>
      </c>
      <c r="N14">
        <f t="shared" si="3"/>
        <v>8.4760000000000002E-2</v>
      </c>
      <c r="P14">
        <f t="shared" si="24"/>
        <v>75</v>
      </c>
      <c r="Q14">
        <f t="shared" si="4"/>
        <v>0.18692499999999998</v>
      </c>
      <c r="R14">
        <f t="shared" si="5"/>
        <v>8.0919999999999992E-2</v>
      </c>
      <c r="T14">
        <f t="shared" si="25"/>
        <v>66.666666666666657</v>
      </c>
      <c r="U14">
        <f t="shared" si="6"/>
        <v>0.18551666666666666</v>
      </c>
      <c r="V14">
        <f t="shared" si="7"/>
        <v>7.7079999999999982E-2</v>
      </c>
      <c r="X14">
        <f t="shared" si="26"/>
        <v>58.333333333333329</v>
      </c>
      <c r="Y14">
        <f t="shared" si="8"/>
        <v>0.18410833333333332</v>
      </c>
      <c r="Z14">
        <f t="shared" si="9"/>
        <v>7.324E-2</v>
      </c>
      <c r="AB14">
        <f t="shared" si="27"/>
        <v>49.999999999999993</v>
      </c>
      <c r="AC14">
        <f t="shared" si="10"/>
        <v>0.18269999999999997</v>
      </c>
      <c r="AD14">
        <f t="shared" si="11"/>
        <v>6.9399999999999989E-2</v>
      </c>
      <c r="AF14">
        <f t="shared" si="28"/>
        <v>41.666666666666664</v>
      </c>
      <c r="AG14">
        <f t="shared" si="12"/>
        <v>0.18129166666666666</v>
      </c>
      <c r="AH14">
        <f t="shared" si="13"/>
        <v>6.5559999999999993E-2</v>
      </c>
      <c r="AJ14">
        <f t="shared" si="29"/>
        <v>33.333333333333329</v>
      </c>
      <c r="AK14">
        <f t="shared" si="14"/>
        <v>0.17988333333333331</v>
      </c>
      <c r="AL14">
        <f t="shared" si="15"/>
        <v>6.1719999999999997E-2</v>
      </c>
      <c r="AN14">
        <f t="shared" si="30"/>
        <v>25</v>
      </c>
      <c r="AO14">
        <f t="shared" si="16"/>
        <v>0.17847499999999999</v>
      </c>
      <c r="AP14">
        <f t="shared" si="17"/>
        <v>5.7880000000000001E-2</v>
      </c>
      <c r="AR14">
        <f t="shared" si="31"/>
        <v>16.666666666666657</v>
      </c>
      <c r="AS14">
        <f t="shared" si="18"/>
        <v>0.17706666666666665</v>
      </c>
      <c r="AT14">
        <f t="shared" si="19"/>
        <v>5.4039999999999991E-2</v>
      </c>
      <c r="AV14">
        <f t="shared" si="32"/>
        <v>0</v>
      </c>
      <c r="AW14">
        <f t="shared" si="20"/>
        <v>0.17424999999999999</v>
      </c>
      <c r="AX14">
        <f t="shared" si="21"/>
        <v>4.6359999999999998E-2</v>
      </c>
    </row>
    <row r="15" spans="1:50">
      <c r="A15" s="49">
        <v>12</v>
      </c>
      <c r="B15" s="20">
        <v>0.11174000000000001</v>
      </c>
      <c r="C15" s="20">
        <v>7.5749999999999998E-2</v>
      </c>
      <c r="D15" s="16"/>
      <c r="E15" s="50">
        <v>9.3899999999999997E-2</v>
      </c>
      <c r="F15" s="50">
        <v>3.814E-2</v>
      </c>
      <c r="G15" s="11"/>
      <c r="H15">
        <f t="shared" si="22"/>
        <v>91.666666666666657</v>
      </c>
      <c r="I15">
        <f t="shared" si="0"/>
        <v>0.11025333333333334</v>
      </c>
      <c r="J15">
        <f t="shared" si="1"/>
        <v>7.2615833333333324E-2</v>
      </c>
      <c r="L15">
        <f t="shared" si="23"/>
        <v>83.333333333333329</v>
      </c>
      <c r="M15">
        <f t="shared" si="2"/>
        <v>0.10876666666666666</v>
      </c>
      <c r="N15">
        <f t="shared" si="3"/>
        <v>6.9481666666666664E-2</v>
      </c>
      <c r="P15">
        <f t="shared" si="24"/>
        <v>75</v>
      </c>
      <c r="Q15">
        <f t="shared" si="4"/>
        <v>0.10728</v>
      </c>
      <c r="R15">
        <f t="shared" si="5"/>
        <v>6.6347500000000004E-2</v>
      </c>
      <c r="T15">
        <f t="shared" si="25"/>
        <v>66.666666666666657</v>
      </c>
      <c r="U15">
        <f t="shared" si="6"/>
        <v>0.10579333333333334</v>
      </c>
      <c r="V15">
        <f t="shared" si="7"/>
        <v>6.321333333333333E-2</v>
      </c>
      <c r="X15">
        <f t="shared" si="26"/>
        <v>58.333333333333329</v>
      </c>
      <c r="Y15">
        <f t="shared" si="8"/>
        <v>0.10430666666666667</v>
      </c>
      <c r="Z15">
        <f t="shared" si="9"/>
        <v>6.007916666666667E-2</v>
      </c>
      <c r="AB15">
        <f t="shared" si="27"/>
        <v>49.999999999999993</v>
      </c>
      <c r="AC15">
        <f t="shared" si="10"/>
        <v>0.10281999999999999</v>
      </c>
      <c r="AD15">
        <f t="shared" si="11"/>
        <v>5.6944999999999996E-2</v>
      </c>
      <c r="AF15">
        <f t="shared" si="28"/>
        <v>41.666666666666664</v>
      </c>
      <c r="AG15">
        <f t="shared" si="12"/>
        <v>0.10133333333333333</v>
      </c>
      <c r="AH15">
        <f t="shared" si="13"/>
        <v>5.3810833333333336E-2</v>
      </c>
      <c r="AJ15">
        <f t="shared" si="29"/>
        <v>33.333333333333329</v>
      </c>
      <c r="AK15">
        <f t="shared" si="14"/>
        <v>9.9846666666666667E-2</v>
      </c>
      <c r="AL15">
        <f t="shared" si="15"/>
        <v>5.0676666666666662E-2</v>
      </c>
      <c r="AN15">
        <f t="shared" si="30"/>
        <v>25</v>
      </c>
      <c r="AO15">
        <f t="shared" si="16"/>
        <v>9.8360000000000003E-2</v>
      </c>
      <c r="AP15">
        <f t="shared" si="17"/>
        <v>4.7542500000000001E-2</v>
      </c>
      <c r="AR15">
        <f t="shared" si="31"/>
        <v>16.666666666666657</v>
      </c>
      <c r="AS15">
        <f t="shared" si="18"/>
        <v>9.6873333333333325E-2</v>
      </c>
      <c r="AT15">
        <f t="shared" si="19"/>
        <v>4.4408333333333327E-2</v>
      </c>
      <c r="AV15">
        <f t="shared" si="32"/>
        <v>0</v>
      </c>
      <c r="AW15">
        <f t="shared" si="20"/>
        <v>9.3899999999999997E-2</v>
      </c>
      <c r="AX15">
        <f t="shared" si="21"/>
        <v>3.814E-2</v>
      </c>
    </row>
    <row r="16" spans="1:50">
      <c r="A16" s="49">
        <v>13</v>
      </c>
      <c r="B16" s="20">
        <v>4.2939999999999999E-2</v>
      </c>
      <c r="C16" s="20">
        <v>4.8120000000000003E-2</v>
      </c>
      <c r="D16" s="16"/>
      <c r="E16" s="50">
        <v>3.5589999999999997E-2</v>
      </c>
      <c r="F16" s="50">
        <v>2.555E-2</v>
      </c>
      <c r="G16" s="11"/>
      <c r="H16">
        <f t="shared" si="22"/>
        <v>91.666666666666657</v>
      </c>
      <c r="I16">
        <f t="shared" si="0"/>
        <v>4.2327499999999997E-2</v>
      </c>
      <c r="J16">
        <f t="shared" si="1"/>
        <v>4.6239166666666665E-2</v>
      </c>
      <c r="L16">
        <f t="shared" si="23"/>
        <v>83.333333333333329</v>
      </c>
      <c r="M16">
        <f t="shared" si="2"/>
        <v>4.1715000000000002E-2</v>
      </c>
      <c r="N16">
        <f t="shared" si="3"/>
        <v>4.4358333333333333E-2</v>
      </c>
      <c r="P16">
        <f t="shared" si="24"/>
        <v>75</v>
      </c>
      <c r="Q16">
        <f t="shared" si="4"/>
        <v>4.11025E-2</v>
      </c>
      <c r="R16">
        <f t="shared" si="5"/>
        <v>4.2477500000000001E-2</v>
      </c>
      <c r="T16">
        <f t="shared" si="25"/>
        <v>66.666666666666657</v>
      </c>
      <c r="U16">
        <f t="shared" si="6"/>
        <v>4.0489999999999998E-2</v>
      </c>
      <c r="V16">
        <f t="shared" si="7"/>
        <v>4.059666666666667E-2</v>
      </c>
      <c r="X16">
        <f t="shared" si="26"/>
        <v>58.333333333333329</v>
      </c>
      <c r="Y16">
        <f t="shared" si="8"/>
        <v>3.9877499999999996E-2</v>
      </c>
      <c r="Z16">
        <f t="shared" si="9"/>
        <v>3.8715833333333338E-2</v>
      </c>
      <c r="AB16">
        <f t="shared" si="27"/>
        <v>49.999999999999993</v>
      </c>
      <c r="AC16">
        <f t="shared" si="10"/>
        <v>3.9264999999999994E-2</v>
      </c>
      <c r="AD16">
        <f t="shared" si="11"/>
        <v>3.6835E-2</v>
      </c>
      <c r="AF16">
        <f t="shared" si="28"/>
        <v>41.666666666666664</v>
      </c>
      <c r="AG16">
        <f t="shared" si="12"/>
        <v>3.8652499999999999E-2</v>
      </c>
      <c r="AH16">
        <f t="shared" si="13"/>
        <v>3.4954166666666668E-2</v>
      </c>
      <c r="AJ16">
        <f t="shared" si="29"/>
        <v>33.333333333333329</v>
      </c>
      <c r="AK16">
        <f t="shared" si="14"/>
        <v>3.8039999999999997E-2</v>
      </c>
      <c r="AL16">
        <f t="shared" si="15"/>
        <v>3.307333333333333E-2</v>
      </c>
      <c r="AN16">
        <f t="shared" si="30"/>
        <v>25</v>
      </c>
      <c r="AO16">
        <f t="shared" si="16"/>
        <v>3.7427499999999995E-2</v>
      </c>
      <c r="AP16">
        <f t="shared" si="17"/>
        <v>3.1192499999999998E-2</v>
      </c>
      <c r="AR16">
        <f t="shared" si="31"/>
        <v>16.666666666666657</v>
      </c>
      <c r="AS16">
        <f t="shared" si="18"/>
        <v>3.6814999999999994E-2</v>
      </c>
      <c r="AT16">
        <f t="shared" si="19"/>
        <v>2.9311666666666666E-2</v>
      </c>
      <c r="AV16">
        <f t="shared" si="32"/>
        <v>0</v>
      </c>
      <c r="AW16">
        <f t="shared" si="20"/>
        <v>3.5589999999999997E-2</v>
      </c>
      <c r="AX16">
        <f t="shared" si="21"/>
        <v>2.555E-2</v>
      </c>
    </row>
    <row r="17" spans="1:50">
      <c r="A17" s="49">
        <v>14</v>
      </c>
      <c r="B17" s="20">
        <v>1.106E-2</v>
      </c>
      <c r="C17" s="20">
        <v>2.2919999999999999E-2</v>
      </c>
      <c r="D17" s="16"/>
      <c r="E17" s="50">
        <v>1.077E-2</v>
      </c>
      <c r="F17" s="50">
        <v>1.4710000000000001E-2</v>
      </c>
      <c r="G17" s="11"/>
      <c r="H17">
        <f t="shared" si="22"/>
        <v>91.666666666666657</v>
      </c>
      <c r="I17">
        <f t="shared" si="0"/>
        <v>1.1035833333333333E-2</v>
      </c>
      <c r="J17">
        <f t="shared" si="1"/>
        <v>2.2235833333333333E-2</v>
      </c>
      <c r="L17">
        <f t="shared" si="23"/>
        <v>83.333333333333329</v>
      </c>
      <c r="M17">
        <f t="shared" si="2"/>
        <v>1.1011666666666666E-2</v>
      </c>
      <c r="N17">
        <f t="shared" si="3"/>
        <v>2.1551666666666667E-2</v>
      </c>
      <c r="P17">
        <f t="shared" si="24"/>
        <v>75</v>
      </c>
      <c r="Q17">
        <f t="shared" si="4"/>
        <v>1.0987500000000001E-2</v>
      </c>
      <c r="R17">
        <f t="shared" si="5"/>
        <v>2.0867500000000001E-2</v>
      </c>
      <c r="T17">
        <f t="shared" si="25"/>
        <v>66.666666666666657</v>
      </c>
      <c r="U17">
        <f t="shared" si="6"/>
        <v>1.0963333333333334E-2</v>
      </c>
      <c r="V17">
        <f t="shared" si="7"/>
        <v>2.0183333333333331E-2</v>
      </c>
      <c r="X17">
        <f t="shared" si="26"/>
        <v>58.333333333333329</v>
      </c>
      <c r="Y17">
        <f t="shared" si="8"/>
        <v>1.0939166666666666E-2</v>
      </c>
      <c r="Z17">
        <f t="shared" si="9"/>
        <v>1.9499166666666665E-2</v>
      </c>
      <c r="AB17">
        <f t="shared" si="27"/>
        <v>49.999999999999993</v>
      </c>
      <c r="AC17">
        <f t="shared" si="10"/>
        <v>1.0914999999999999E-2</v>
      </c>
      <c r="AD17">
        <f t="shared" si="11"/>
        <v>1.8814999999999998E-2</v>
      </c>
      <c r="AF17">
        <f t="shared" si="28"/>
        <v>41.666666666666664</v>
      </c>
      <c r="AG17">
        <f t="shared" si="12"/>
        <v>1.0890833333333334E-2</v>
      </c>
      <c r="AH17">
        <f t="shared" si="13"/>
        <v>1.8130833333333332E-2</v>
      </c>
      <c r="AJ17">
        <f t="shared" si="29"/>
        <v>33.333333333333329</v>
      </c>
      <c r="AK17">
        <f t="shared" si="14"/>
        <v>1.0866666666666667E-2</v>
      </c>
      <c r="AL17">
        <f t="shared" si="15"/>
        <v>1.7446666666666666E-2</v>
      </c>
      <c r="AN17">
        <f t="shared" si="30"/>
        <v>25</v>
      </c>
      <c r="AO17">
        <f t="shared" si="16"/>
        <v>1.08425E-2</v>
      </c>
      <c r="AP17">
        <f t="shared" si="17"/>
        <v>1.67625E-2</v>
      </c>
      <c r="AR17">
        <f t="shared" si="31"/>
        <v>16.666666666666657</v>
      </c>
      <c r="AS17">
        <f t="shared" si="18"/>
        <v>1.0818333333333333E-2</v>
      </c>
      <c r="AT17">
        <f t="shared" si="19"/>
        <v>1.6078333333333333E-2</v>
      </c>
      <c r="AV17">
        <f t="shared" si="32"/>
        <v>0</v>
      </c>
      <c r="AW17">
        <f t="shared" si="20"/>
        <v>1.077E-2</v>
      </c>
      <c r="AX17">
        <f t="shared" si="21"/>
        <v>1.4710000000000001E-2</v>
      </c>
    </row>
    <row r="18" spans="1:50">
      <c r="A18" s="49">
        <v>15</v>
      </c>
      <c r="B18" s="20">
        <v>1.2999999999999999E-3</v>
      </c>
      <c r="C18" s="20">
        <v>8.5199999999999998E-3</v>
      </c>
      <c r="D18" s="16"/>
      <c r="E18" s="50">
        <v>1.1199999999999999E-3</v>
      </c>
      <c r="F18" s="50">
        <v>4.8999999999999998E-3</v>
      </c>
      <c r="G18" s="11"/>
      <c r="H18">
        <f t="shared" si="22"/>
        <v>91.666666666666657</v>
      </c>
      <c r="I18">
        <f t="shared" si="0"/>
        <v>1.2849999999999999E-3</v>
      </c>
      <c r="J18">
        <f t="shared" si="1"/>
        <v>8.2183333333333327E-3</v>
      </c>
      <c r="L18">
        <f t="shared" si="23"/>
        <v>83.333333333333329</v>
      </c>
      <c r="M18">
        <f t="shared" si="2"/>
        <v>1.2699999999999999E-3</v>
      </c>
      <c r="N18">
        <f t="shared" si="3"/>
        <v>7.9166666666666656E-3</v>
      </c>
      <c r="P18">
        <f t="shared" si="24"/>
        <v>75</v>
      </c>
      <c r="Q18">
        <f t="shared" si="4"/>
        <v>1.255E-3</v>
      </c>
      <c r="R18">
        <f t="shared" si="5"/>
        <v>7.6150000000000002E-3</v>
      </c>
      <c r="T18">
        <f t="shared" si="25"/>
        <v>66.666666666666657</v>
      </c>
      <c r="U18">
        <f t="shared" si="6"/>
        <v>1.24E-3</v>
      </c>
      <c r="V18">
        <f t="shared" si="7"/>
        <v>7.3133333333333331E-3</v>
      </c>
      <c r="X18">
        <f t="shared" si="26"/>
        <v>58.333333333333329</v>
      </c>
      <c r="Y18">
        <f t="shared" si="8"/>
        <v>1.225E-3</v>
      </c>
      <c r="Z18">
        <f t="shared" si="9"/>
        <v>7.011666666666666E-3</v>
      </c>
      <c r="AB18">
        <f t="shared" si="27"/>
        <v>49.999999999999993</v>
      </c>
      <c r="AC18">
        <f t="shared" si="10"/>
        <v>1.2099999999999999E-3</v>
      </c>
      <c r="AD18">
        <f t="shared" si="11"/>
        <v>6.7099999999999998E-3</v>
      </c>
      <c r="AF18">
        <f t="shared" si="28"/>
        <v>41.666666666666664</v>
      </c>
      <c r="AG18">
        <f t="shared" si="12"/>
        <v>1.1949999999999999E-3</v>
      </c>
      <c r="AH18">
        <f t="shared" si="13"/>
        <v>6.4083333333333327E-3</v>
      </c>
      <c r="AJ18">
        <f t="shared" si="29"/>
        <v>33.333333333333329</v>
      </c>
      <c r="AK18">
        <f t="shared" si="14"/>
        <v>1.1799999999999998E-3</v>
      </c>
      <c r="AL18">
        <f t="shared" si="15"/>
        <v>6.1066666666666665E-3</v>
      </c>
      <c r="AN18">
        <f t="shared" si="30"/>
        <v>25</v>
      </c>
      <c r="AO18">
        <f t="shared" si="16"/>
        <v>1.1649999999999998E-3</v>
      </c>
      <c r="AP18">
        <f t="shared" si="17"/>
        <v>5.8049999999999994E-3</v>
      </c>
      <c r="AR18">
        <f t="shared" si="31"/>
        <v>16.666666666666657</v>
      </c>
      <c r="AS18">
        <f t="shared" si="18"/>
        <v>1.15E-3</v>
      </c>
      <c r="AT18">
        <f t="shared" si="19"/>
        <v>5.5033333333333332E-3</v>
      </c>
      <c r="AV18">
        <f t="shared" si="32"/>
        <v>0</v>
      </c>
      <c r="AW18">
        <f t="shared" si="20"/>
        <v>1.1199999999999999E-3</v>
      </c>
      <c r="AX18">
        <f t="shared" si="21"/>
        <v>4.8999999999999998E-3</v>
      </c>
    </row>
    <row r="19" spans="1:50">
      <c r="A19" s="49">
        <v>16</v>
      </c>
      <c r="B19" s="20">
        <v>3.2000000000000003E-4</v>
      </c>
      <c r="C19" s="20">
        <v>-1.5399999999999999E-3</v>
      </c>
      <c r="D19" s="16"/>
      <c r="E19" s="50">
        <v>1.1199999999999999E-3</v>
      </c>
      <c r="F19" s="50">
        <v>-4.8999999999999998E-3</v>
      </c>
      <c r="G19" s="11"/>
      <c r="H19">
        <f t="shared" si="22"/>
        <v>91.666666666666657</v>
      </c>
      <c r="I19">
        <f t="shared" si="0"/>
        <v>3.8666666666666667E-4</v>
      </c>
      <c r="J19">
        <f t="shared" si="1"/>
        <v>-1.82E-3</v>
      </c>
      <c r="L19">
        <f t="shared" si="23"/>
        <v>83.333333333333329</v>
      </c>
      <c r="M19">
        <f t="shared" si="2"/>
        <v>4.5333333333333337E-4</v>
      </c>
      <c r="N19">
        <f t="shared" si="3"/>
        <v>-2.1000000000000003E-3</v>
      </c>
      <c r="P19">
        <f t="shared" si="24"/>
        <v>75</v>
      </c>
      <c r="Q19">
        <f t="shared" si="4"/>
        <v>5.1999999999999995E-4</v>
      </c>
      <c r="R19">
        <f t="shared" si="5"/>
        <v>-2.3799999999999997E-3</v>
      </c>
      <c r="T19">
        <f t="shared" si="25"/>
        <v>66.666666666666657</v>
      </c>
      <c r="U19">
        <f t="shared" si="6"/>
        <v>5.8666666666666665E-4</v>
      </c>
      <c r="V19">
        <f t="shared" si="7"/>
        <v>-2.66E-3</v>
      </c>
      <c r="X19">
        <f t="shared" si="26"/>
        <v>58.333333333333329</v>
      </c>
      <c r="Y19">
        <f t="shared" si="8"/>
        <v>6.5333333333333324E-4</v>
      </c>
      <c r="Z19">
        <f t="shared" si="9"/>
        <v>-2.9399999999999999E-3</v>
      </c>
      <c r="AB19">
        <f t="shared" si="27"/>
        <v>49.999999999999993</v>
      </c>
      <c r="AC19">
        <f t="shared" si="10"/>
        <v>7.1999999999999994E-4</v>
      </c>
      <c r="AD19">
        <f t="shared" si="11"/>
        <v>-3.2199999999999998E-3</v>
      </c>
      <c r="AF19">
        <f t="shared" si="28"/>
        <v>41.666666666666664</v>
      </c>
      <c r="AG19">
        <f t="shared" si="12"/>
        <v>7.8666666666666663E-4</v>
      </c>
      <c r="AH19">
        <f t="shared" si="13"/>
        <v>-3.5000000000000001E-3</v>
      </c>
      <c r="AJ19">
        <f t="shared" si="29"/>
        <v>33.333333333333329</v>
      </c>
      <c r="AK19">
        <f t="shared" si="14"/>
        <v>8.5333333333333333E-4</v>
      </c>
      <c r="AL19">
        <f t="shared" si="15"/>
        <v>-3.7799999999999999E-3</v>
      </c>
      <c r="AN19">
        <f t="shared" si="30"/>
        <v>25</v>
      </c>
      <c r="AO19">
        <f t="shared" si="16"/>
        <v>9.1999999999999992E-4</v>
      </c>
      <c r="AP19">
        <f t="shared" si="17"/>
        <v>-4.0599999999999994E-3</v>
      </c>
      <c r="AR19">
        <f t="shared" si="31"/>
        <v>16.666666666666657</v>
      </c>
      <c r="AS19">
        <f t="shared" si="18"/>
        <v>9.8666666666666672E-4</v>
      </c>
      <c r="AT19">
        <f t="shared" si="19"/>
        <v>-4.3400000000000001E-3</v>
      </c>
      <c r="AV19">
        <f t="shared" si="32"/>
        <v>0</v>
      </c>
      <c r="AW19">
        <f t="shared" si="20"/>
        <v>1.1199999999999999E-3</v>
      </c>
      <c r="AX19">
        <f t="shared" si="21"/>
        <v>-4.8999999999999998E-3</v>
      </c>
    </row>
    <row r="20" spans="1:50">
      <c r="A20" s="49">
        <v>17</v>
      </c>
      <c r="B20" s="20">
        <v>7.6600000000000001E-3</v>
      </c>
      <c r="C20" s="20">
        <v>-1.282E-2</v>
      </c>
      <c r="D20" s="16"/>
      <c r="E20" s="50">
        <v>1.077E-2</v>
      </c>
      <c r="F20" s="50">
        <v>-1.4710000000000001E-2</v>
      </c>
      <c r="G20" s="11"/>
      <c r="H20">
        <f t="shared" si="22"/>
        <v>91.666666666666657</v>
      </c>
      <c r="I20">
        <f t="shared" si="0"/>
        <v>7.9191666666666681E-3</v>
      </c>
      <c r="J20">
        <f t="shared" si="1"/>
        <v>-1.2977499999999999E-2</v>
      </c>
      <c r="L20">
        <f t="shared" si="23"/>
        <v>83.333333333333329</v>
      </c>
      <c r="M20">
        <f t="shared" si="2"/>
        <v>8.1783333333333326E-3</v>
      </c>
      <c r="N20">
        <f t="shared" si="3"/>
        <v>-1.3135000000000001E-2</v>
      </c>
      <c r="P20">
        <f t="shared" si="24"/>
        <v>75</v>
      </c>
      <c r="Q20">
        <f t="shared" si="4"/>
        <v>8.4375000000000006E-3</v>
      </c>
      <c r="R20">
        <f t="shared" si="5"/>
        <v>-1.32925E-2</v>
      </c>
      <c r="T20">
        <f t="shared" si="25"/>
        <v>66.666666666666657</v>
      </c>
      <c r="U20">
        <f t="shared" si="6"/>
        <v>8.6966666666666668E-3</v>
      </c>
      <c r="V20">
        <f t="shared" si="7"/>
        <v>-1.345E-2</v>
      </c>
      <c r="X20">
        <f t="shared" si="26"/>
        <v>58.333333333333329</v>
      </c>
      <c r="Y20">
        <f t="shared" si="8"/>
        <v>8.955833333333333E-3</v>
      </c>
      <c r="Z20">
        <f t="shared" si="9"/>
        <v>-1.36075E-2</v>
      </c>
      <c r="AB20">
        <f t="shared" si="27"/>
        <v>49.999999999999993</v>
      </c>
      <c r="AC20">
        <f t="shared" si="10"/>
        <v>9.215000000000001E-3</v>
      </c>
      <c r="AD20">
        <f t="shared" si="11"/>
        <v>-1.3765000000000001E-2</v>
      </c>
      <c r="AF20">
        <f t="shared" si="28"/>
        <v>41.666666666666664</v>
      </c>
      <c r="AG20">
        <f t="shared" si="12"/>
        <v>9.4741666666666672E-3</v>
      </c>
      <c r="AH20">
        <f t="shared" si="13"/>
        <v>-1.3922500000000001E-2</v>
      </c>
      <c r="AJ20">
        <f t="shared" si="29"/>
        <v>33.333333333333329</v>
      </c>
      <c r="AK20">
        <f t="shared" si="14"/>
        <v>9.7333333333333334E-3</v>
      </c>
      <c r="AL20">
        <f t="shared" si="15"/>
        <v>-1.4080000000000001E-2</v>
      </c>
      <c r="AN20">
        <f t="shared" si="30"/>
        <v>25</v>
      </c>
      <c r="AO20">
        <f t="shared" si="16"/>
        <v>9.9924999999999996E-3</v>
      </c>
      <c r="AP20">
        <f t="shared" si="17"/>
        <v>-1.42375E-2</v>
      </c>
      <c r="AR20">
        <f t="shared" si="31"/>
        <v>16.666666666666657</v>
      </c>
      <c r="AS20">
        <f t="shared" si="18"/>
        <v>1.0251666666666668E-2</v>
      </c>
      <c r="AT20">
        <f t="shared" si="19"/>
        <v>-1.4395000000000002E-2</v>
      </c>
      <c r="AV20">
        <f t="shared" si="32"/>
        <v>0</v>
      </c>
      <c r="AW20">
        <f t="shared" si="20"/>
        <v>1.077E-2</v>
      </c>
      <c r="AX20">
        <f t="shared" si="21"/>
        <v>-1.4710000000000001E-2</v>
      </c>
    </row>
    <row r="21" spans="1:50">
      <c r="A21" s="49">
        <v>18</v>
      </c>
      <c r="B21" s="20">
        <v>3.3230000000000003E-2</v>
      </c>
      <c r="C21" s="20">
        <v>-2.5870000000000001E-2</v>
      </c>
      <c r="D21" s="16"/>
      <c r="E21" s="50">
        <v>3.5589999999999997E-2</v>
      </c>
      <c r="F21" s="50">
        <v>-2.555E-2</v>
      </c>
      <c r="G21" s="11"/>
      <c r="H21">
        <f t="shared" si="22"/>
        <v>91.666666666666657</v>
      </c>
      <c r="I21">
        <f t="shared" si="0"/>
        <v>3.3426666666666667E-2</v>
      </c>
      <c r="J21">
        <f t="shared" si="1"/>
        <v>-2.5843333333333333E-2</v>
      </c>
      <c r="L21">
        <f t="shared" si="23"/>
        <v>83.333333333333329</v>
      </c>
      <c r="M21">
        <f t="shared" si="2"/>
        <v>3.3623333333333338E-2</v>
      </c>
      <c r="N21">
        <f t="shared" si="3"/>
        <v>-2.5816666666666668E-2</v>
      </c>
      <c r="P21">
        <f t="shared" si="24"/>
        <v>75</v>
      </c>
      <c r="Q21">
        <f t="shared" si="4"/>
        <v>3.3820000000000003E-2</v>
      </c>
      <c r="R21">
        <f t="shared" si="5"/>
        <v>-2.579E-2</v>
      </c>
      <c r="T21">
        <f t="shared" si="25"/>
        <v>66.666666666666657</v>
      </c>
      <c r="U21">
        <f t="shared" si="6"/>
        <v>3.4016666666666667E-2</v>
      </c>
      <c r="V21">
        <f t="shared" si="7"/>
        <v>-2.5763333333333333E-2</v>
      </c>
      <c r="X21">
        <f t="shared" si="26"/>
        <v>58.333333333333329</v>
      </c>
      <c r="Y21">
        <f t="shared" si="8"/>
        <v>3.4213333333333332E-2</v>
      </c>
      <c r="Z21">
        <f t="shared" si="9"/>
        <v>-2.5736666666666668E-2</v>
      </c>
      <c r="AB21">
        <f t="shared" si="27"/>
        <v>49.999999999999993</v>
      </c>
      <c r="AC21">
        <f t="shared" si="10"/>
        <v>3.4410000000000003E-2</v>
      </c>
      <c r="AD21">
        <f t="shared" si="11"/>
        <v>-2.571E-2</v>
      </c>
      <c r="AF21">
        <f t="shared" si="28"/>
        <v>41.666666666666664</v>
      </c>
      <c r="AG21">
        <f t="shared" si="12"/>
        <v>3.4606666666666668E-2</v>
      </c>
      <c r="AH21">
        <f t="shared" si="13"/>
        <v>-2.5683333333333332E-2</v>
      </c>
      <c r="AJ21">
        <f t="shared" si="29"/>
        <v>33.333333333333329</v>
      </c>
      <c r="AK21">
        <f t="shared" si="14"/>
        <v>3.4803333333333332E-2</v>
      </c>
      <c r="AL21">
        <f t="shared" si="15"/>
        <v>-2.5656666666666668E-2</v>
      </c>
      <c r="AN21">
        <f t="shared" si="30"/>
        <v>25</v>
      </c>
      <c r="AO21">
        <f t="shared" si="16"/>
        <v>3.4999999999999996E-2</v>
      </c>
      <c r="AP21">
        <f t="shared" si="17"/>
        <v>-2.563E-2</v>
      </c>
      <c r="AR21">
        <f t="shared" si="31"/>
        <v>16.666666666666657</v>
      </c>
      <c r="AS21">
        <f t="shared" si="18"/>
        <v>3.5196666666666668E-2</v>
      </c>
      <c r="AT21">
        <f t="shared" si="19"/>
        <v>-2.5603333333333332E-2</v>
      </c>
      <c r="AV21">
        <f t="shared" si="32"/>
        <v>0</v>
      </c>
      <c r="AW21">
        <f t="shared" si="20"/>
        <v>3.5589999999999997E-2</v>
      </c>
      <c r="AX21">
        <f t="shared" si="21"/>
        <v>-2.555E-2</v>
      </c>
    </row>
    <row r="22" spans="1:50">
      <c r="A22" s="49">
        <v>19</v>
      </c>
      <c r="B22" s="20">
        <v>9.7040000000000001E-2</v>
      </c>
      <c r="C22" s="20">
        <v>-4.2229999999999997E-2</v>
      </c>
      <c r="D22" s="16"/>
      <c r="E22" s="50">
        <v>9.3899999999999997E-2</v>
      </c>
      <c r="F22" s="50">
        <v>-3.814E-2</v>
      </c>
      <c r="G22" s="11"/>
      <c r="H22">
        <f t="shared" si="22"/>
        <v>91.666666666666657</v>
      </c>
      <c r="I22">
        <f t="shared" si="0"/>
        <v>9.6778333333333327E-2</v>
      </c>
      <c r="J22">
        <f t="shared" si="1"/>
        <v>-4.1889166666666665E-2</v>
      </c>
      <c r="L22">
        <f t="shared" si="23"/>
        <v>83.333333333333329</v>
      </c>
      <c r="M22">
        <f t="shared" si="2"/>
        <v>9.6516666666666667E-2</v>
      </c>
      <c r="N22">
        <f t="shared" si="3"/>
        <v>-4.1548333333333333E-2</v>
      </c>
      <c r="P22">
        <f t="shared" si="24"/>
        <v>75</v>
      </c>
      <c r="Q22">
        <f t="shared" si="4"/>
        <v>9.6255000000000007E-2</v>
      </c>
      <c r="R22">
        <f t="shared" si="5"/>
        <v>-4.1207499999999994E-2</v>
      </c>
      <c r="T22">
        <f t="shared" si="25"/>
        <v>66.666666666666657</v>
      </c>
      <c r="U22">
        <f t="shared" si="6"/>
        <v>9.5993333333333333E-2</v>
      </c>
      <c r="V22">
        <f t="shared" si="7"/>
        <v>-4.0866666666666662E-2</v>
      </c>
      <c r="X22">
        <f t="shared" si="26"/>
        <v>58.333333333333329</v>
      </c>
      <c r="Y22">
        <f t="shared" si="8"/>
        <v>9.5731666666666659E-2</v>
      </c>
      <c r="Z22">
        <f t="shared" si="9"/>
        <v>-4.052583333333333E-2</v>
      </c>
      <c r="AB22">
        <f t="shared" si="27"/>
        <v>49.999999999999993</v>
      </c>
      <c r="AC22">
        <f t="shared" si="10"/>
        <v>9.5469999999999999E-2</v>
      </c>
      <c r="AD22">
        <f t="shared" si="11"/>
        <v>-4.0184999999999998E-2</v>
      </c>
      <c r="AF22">
        <f t="shared" si="28"/>
        <v>41.666666666666664</v>
      </c>
      <c r="AG22">
        <f t="shared" si="12"/>
        <v>9.5208333333333339E-2</v>
      </c>
      <c r="AH22">
        <f t="shared" si="13"/>
        <v>-3.9844166666666667E-2</v>
      </c>
      <c r="AJ22">
        <f t="shared" si="29"/>
        <v>33.333333333333329</v>
      </c>
      <c r="AK22">
        <f t="shared" si="14"/>
        <v>9.4946666666666665E-2</v>
      </c>
      <c r="AL22">
        <f t="shared" si="15"/>
        <v>-3.9503333333333335E-2</v>
      </c>
      <c r="AN22">
        <f t="shared" si="30"/>
        <v>25</v>
      </c>
      <c r="AO22">
        <f t="shared" si="16"/>
        <v>9.4684999999999991E-2</v>
      </c>
      <c r="AP22">
        <f t="shared" si="17"/>
        <v>-3.9162500000000003E-2</v>
      </c>
      <c r="AR22">
        <f t="shared" si="31"/>
        <v>16.666666666666657</v>
      </c>
      <c r="AS22">
        <f t="shared" si="18"/>
        <v>9.4423333333333331E-2</v>
      </c>
      <c r="AT22">
        <f t="shared" si="19"/>
        <v>-3.8821666666666664E-2</v>
      </c>
      <c r="AV22">
        <f t="shared" si="32"/>
        <v>0</v>
      </c>
      <c r="AW22">
        <f t="shared" si="20"/>
        <v>9.3899999999999997E-2</v>
      </c>
      <c r="AX22">
        <f t="shared" si="21"/>
        <v>-3.814E-2</v>
      </c>
    </row>
    <row r="23" spans="1:50">
      <c r="A23" s="49">
        <v>20</v>
      </c>
      <c r="B23" s="20">
        <v>0.17948</v>
      </c>
      <c r="C23" s="20">
        <v>-4.947E-2</v>
      </c>
      <c r="D23" s="16"/>
      <c r="E23" s="50">
        <v>0.17424999999999999</v>
      </c>
      <c r="F23" s="50">
        <v>-4.6359999999999998E-2</v>
      </c>
      <c r="G23" s="11"/>
      <c r="H23">
        <f t="shared" si="22"/>
        <v>91.666666666666657</v>
      </c>
      <c r="I23">
        <f t="shared" si="0"/>
        <v>0.17904416666666667</v>
      </c>
      <c r="J23">
        <f t="shared" si="1"/>
        <v>-4.9210833333333336E-2</v>
      </c>
      <c r="L23">
        <f t="shared" si="23"/>
        <v>83.333333333333329</v>
      </c>
      <c r="M23">
        <f t="shared" si="2"/>
        <v>0.17860833333333334</v>
      </c>
      <c r="N23">
        <f t="shared" si="3"/>
        <v>-4.8951666666666664E-2</v>
      </c>
      <c r="P23">
        <f t="shared" si="24"/>
        <v>75</v>
      </c>
      <c r="Q23">
        <f t="shared" si="4"/>
        <v>0.17817250000000001</v>
      </c>
      <c r="R23">
        <f t="shared" si="5"/>
        <v>-4.86925E-2</v>
      </c>
      <c r="T23">
        <f t="shared" si="25"/>
        <v>66.666666666666657</v>
      </c>
      <c r="U23">
        <f t="shared" si="6"/>
        <v>0.17773666666666665</v>
      </c>
      <c r="V23">
        <f t="shared" si="7"/>
        <v>-4.8433333333333335E-2</v>
      </c>
      <c r="X23">
        <f t="shared" si="26"/>
        <v>58.333333333333329</v>
      </c>
      <c r="Y23">
        <f t="shared" si="8"/>
        <v>0.17730083333333332</v>
      </c>
      <c r="Z23">
        <f t="shared" si="9"/>
        <v>-4.8174166666666664E-2</v>
      </c>
      <c r="AB23">
        <f t="shared" si="27"/>
        <v>49.999999999999993</v>
      </c>
      <c r="AC23">
        <f t="shared" si="10"/>
        <v>0.17686499999999999</v>
      </c>
      <c r="AD23">
        <f t="shared" si="11"/>
        <v>-4.7914999999999999E-2</v>
      </c>
      <c r="AF23">
        <f t="shared" si="28"/>
        <v>41.666666666666664</v>
      </c>
      <c r="AG23">
        <f t="shared" si="12"/>
        <v>0.17642916666666666</v>
      </c>
      <c r="AH23">
        <f t="shared" si="13"/>
        <v>-4.7655833333333335E-2</v>
      </c>
      <c r="AJ23">
        <f t="shared" si="29"/>
        <v>33.333333333333329</v>
      </c>
      <c r="AK23">
        <f t="shared" si="14"/>
        <v>0.17599333333333333</v>
      </c>
      <c r="AL23">
        <f t="shared" si="15"/>
        <v>-4.7396666666666663E-2</v>
      </c>
      <c r="AN23">
        <f t="shared" si="30"/>
        <v>25</v>
      </c>
      <c r="AO23">
        <f t="shared" si="16"/>
        <v>0.17555749999999998</v>
      </c>
      <c r="AP23">
        <f t="shared" si="17"/>
        <v>-4.7137499999999999E-2</v>
      </c>
      <c r="AR23">
        <f t="shared" si="31"/>
        <v>16.666666666666657</v>
      </c>
      <c r="AS23">
        <f t="shared" si="18"/>
        <v>0.17512166666666665</v>
      </c>
      <c r="AT23">
        <f t="shared" si="19"/>
        <v>-4.6878333333333334E-2</v>
      </c>
      <c r="AV23">
        <f t="shared" si="32"/>
        <v>0</v>
      </c>
      <c r="AW23">
        <f t="shared" si="20"/>
        <v>0.17424999999999999</v>
      </c>
      <c r="AX23">
        <f t="shared" si="21"/>
        <v>-4.6359999999999998E-2</v>
      </c>
    </row>
    <row r="24" spans="1:50">
      <c r="A24" s="49">
        <v>21</v>
      </c>
      <c r="B24" s="20">
        <v>0.26478000000000002</v>
      </c>
      <c r="C24" s="20">
        <v>-5.1580000000000001E-2</v>
      </c>
      <c r="D24" s="16"/>
      <c r="E24" s="50">
        <v>0.25903999999999999</v>
      </c>
      <c r="F24" s="50">
        <v>-4.9680000000000002E-2</v>
      </c>
      <c r="G24" s="11"/>
      <c r="H24">
        <f t="shared" si="22"/>
        <v>91.666666666666657</v>
      </c>
      <c r="I24">
        <f t="shared" si="0"/>
        <v>0.26430166666666666</v>
      </c>
      <c r="J24">
        <f t="shared" si="1"/>
        <v>-5.1421666666666664E-2</v>
      </c>
      <c r="L24">
        <f t="shared" si="23"/>
        <v>83.333333333333329</v>
      </c>
      <c r="M24">
        <f t="shared" si="2"/>
        <v>0.26382333333333335</v>
      </c>
      <c r="N24">
        <f t="shared" si="3"/>
        <v>-5.1263333333333334E-2</v>
      </c>
      <c r="P24">
        <f t="shared" si="24"/>
        <v>75</v>
      </c>
      <c r="Q24">
        <f t="shared" si="4"/>
        <v>0.263345</v>
      </c>
      <c r="R24">
        <f t="shared" si="5"/>
        <v>-5.1104999999999998E-2</v>
      </c>
      <c r="T24">
        <f t="shared" si="25"/>
        <v>66.666666666666657</v>
      </c>
      <c r="U24">
        <f t="shared" si="6"/>
        <v>0.26286666666666669</v>
      </c>
      <c r="V24">
        <f t="shared" si="7"/>
        <v>-5.0946666666666668E-2</v>
      </c>
      <c r="X24">
        <f t="shared" si="26"/>
        <v>58.333333333333329</v>
      </c>
      <c r="Y24">
        <f t="shared" si="8"/>
        <v>0.26238833333333333</v>
      </c>
      <c r="Z24">
        <f t="shared" si="9"/>
        <v>-5.0788333333333331E-2</v>
      </c>
      <c r="AB24">
        <f t="shared" si="27"/>
        <v>49.999999999999993</v>
      </c>
      <c r="AC24">
        <f t="shared" si="10"/>
        <v>0.26190999999999998</v>
      </c>
      <c r="AD24">
        <f t="shared" si="11"/>
        <v>-5.0630000000000001E-2</v>
      </c>
      <c r="AF24">
        <f t="shared" si="28"/>
        <v>41.666666666666664</v>
      </c>
      <c r="AG24">
        <f t="shared" si="12"/>
        <v>0.26143166666666667</v>
      </c>
      <c r="AH24">
        <f t="shared" si="13"/>
        <v>-5.0471666666666665E-2</v>
      </c>
      <c r="AJ24">
        <f t="shared" si="29"/>
        <v>33.333333333333329</v>
      </c>
      <c r="AK24">
        <f t="shared" si="14"/>
        <v>0.26095333333333331</v>
      </c>
      <c r="AL24">
        <f t="shared" si="15"/>
        <v>-5.0313333333333335E-2</v>
      </c>
      <c r="AN24">
        <f t="shared" si="30"/>
        <v>25</v>
      </c>
      <c r="AO24">
        <f t="shared" si="16"/>
        <v>0.26047500000000001</v>
      </c>
      <c r="AP24">
        <f t="shared" si="17"/>
        <v>-5.0155000000000005E-2</v>
      </c>
      <c r="AR24">
        <f t="shared" si="31"/>
        <v>16.666666666666657</v>
      </c>
      <c r="AS24">
        <f t="shared" si="18"/>
        <v>0.25999666666666665</v>
      </c>
      <c r="AT24">
        <f t="shared" si="19"/>
        <v>-4.9996666666666668E-2</v>
      </c>
      <c r="AV24">
        <f t="shared" si="32"/>
        <v>0</v>
      </c>
      <c r="AW24">
        <f t="shared" si="20"/>
        <v>0.25903999999999999</v>
      </c>
      <c r="AX24">
        <f t="shared" si="21"/>
        <v>-4.9680000000000002E-2</v>
      </c>
    </row>
    <row r="25" spans="1:50">
      <c r="A25" s="49">
        <v>22</v>
      </c>
      <c r="B25" s="20">
        <v>0.35043999999999997</v>
      </c>
      <c r="C25" s="20">
        <v>-5.135E-2</v>
      </c>
      <c r="D25" s="16"/>
      <c r="E25" s="50">
        <v>0.34539999999999998</v>
      </c>
      <c r="F25" s="50">
        <v>-4.965E-2</v>
      </c>
      <c r="G25" s="11"/>
      <c r="H25">
        <f t="shared" si="22"/>
        <v>91.666666666666657</v>
      </c>
      <c r="I25">
        <f t="shared" si="0"/>
        <v>0.35002</v>
      </c>
      <c r="J25">
        <f t="shared" si="1"/>
        <v>-5.1208333333333335E-2</v>
      </c>
      <c r="L25">
        <f t="shared" si="23"/>
        <v>83.333333333333329</v>
      </c>
      <c r="M25">
        <f t="shared" si="2"/>
        <v>0.34959999999999997</v>
      </c>
      <c r="N25">
        <f t="shared" si="3"/>
        <v>-5.1066666666666663E-2</v>
      </c>
      <c r="P25">
        <f t="shared" si="24"/>
        <v>75</v>
      </c>
      <c r="Q25">
        <f t="shared" si="4"/>
        <v>0.34917999999999999</v>
      </c>
      <c r="R25">
        <f t="shared" si="5"/>
        <v>-5.0924999999999998E-2</v>
      </c>
      <c r="T25">
        <f t="shared" si="25"/>
        <v>66.666666666666657</v>
      </c>
      <c r="U25">
        <f t="shared" si="6"/>
        <v>0.34875999999999996</v>
      </c>
      <c r="V25">
        <f t="shared" si="7"/>
        <v>-5.0783333333333333E-2</v>
      </c>
      <c r="X25">
        <f t="shared" si="26"/>
        <v>58.333333333333329</v>
      </c>
      <c r="Y25">
        <f t="shared" si="8"/>
        <v>0.34833999999999998</v>
      </c>
      <c r="Z25">
        <f t="shared" si="9"/>
        <v>-5.0641666666666668E-2</v>
      </c>
      <c r="AB25">
        <f t="shared" si="27"/>
        <v>49.999999999999993</v>
      </c>
      <c r="AC25">
        <f t="shared" si="10"/>
        <v>0.34791999999999995</v>
      </c>
      <c r="AD25">
        <f t="shared" si="11"/>
        <v>-5.0499999999999996E-2</v>
      </c>
      <c r="AF25">
        <f t="shared" si="28"/>
        <v>41.666666666666664</v>
      </c>
      <c r="AG25">
        <f t="shared" si="12"/>
        <v>0.34749999999999998</v>
      </c>
      <c r="AH25">
        <f t="shared" si="13"/>
        <v>-5.0358333333333331E-2</v>
      </c>
      <c r="AJ25">
        <f t="shared" si="29"/>
        <v>33.333333333333329</v>
      </c>
      <c r="AK25">
        <f t="shared" si="14"/>
        <v>0.34708</v>
      </c>
      <c r="AL25">
        <f t="shared" si="15"/>
        <v>-5.0216666666666666E-2</v>
      </c>
      <c r="AN25">
        <f t="shared" si="30"/>
        <v>25</v>
      </c>
      <c r="AO25">
        <f t="shared" si="16"/>
        <v>0.34665999999999997</v>
      </c>
      <c r="AP25">
        <f t="shared" si="17"/>
        <v>-5.0075000000000001E-2</v>
      </c>
      <c r="AR25">
        <f t="shared" si="31"/>
        <v>16.666666666666657</v>
      </c>
      <c r="AS25">
        <f t="shared" si="18"/>
        <v>0.34623999999999999</v>
      </c>
      <c r="AT25">
        <f t="shared" si="19"/>
        <v>-4.993333333333333E-2</v>
      </c>
      <c r="AV25">
        <f t="shared" si="32"/>
        <v>0</v>
      </c>
      <c r="AW25">
        <f t="shared" si="20"/>
        <v>0.34539999999999998</v>
      </c>
      <c r="AX25">
        <f t="shared" si="21"/>
        <v>-4.965E-2</v>
      </c>
    </row>
    <row r="26" spans="1:50">
      <c r="A26" s="49">
        <v>23</v>
      </c>
      <c r="B26" s="20">
        <v>0.43622</v>
      </c>
      <c r="C26" s="20">
        <v>-4.8860000000000001E-2</v>
      </c>
      <c r="D26" s="16"/>
      <c r="E26" s="50">
        <v>0.43256</v>
      </c>
      <c r="F26" s="50">
        <v>-4.7219999999999998E-2</v>
      </c>
      <c r="G26" s="11"/>
      <c r="H26">
        <f t="shared" si="22"/>
        <v>91.666666666666657</v>
      </c>
      <c r="I26">
        <f t="shared" si="0"/>
        <v>0.435915</v>
      </c>
      <c r="J26">
        <f t="shared" si="1"/>
        <v>-4.8723333333333334E-2</v>
      </c>
      <c r="L26">
        <f t="shared" si="23"/>
        <v>83.333333333333329</v>
      </c>
      <c r="M26">
        <f t="shared" si="2"/>
        <v>0.43561</v>
      </c>
      <c r="N26">
        <f t="shared" si="3"/>
        <v>-4.8586666666666667E-2</v>
      </c>
      <c r="P26">
        <f t="shared" si="24"/>
        <v>75</v>
      </c>
      <c r="Q26">
        <f t="shared" si="4"/>
        <v>0.435305</v>
      </c>
      <c r="R26">
        <f t="shared" si="5"/>
        <v>-4.845E-2</v>
      </c>
      <c r="T26">
        <f t="shared" si="25"/>
        <v>66.666666666666657</v>
      </c>
      <c r="U26">
        <f t="shared" si="6"/>
        <v>0.435</v>
      </c>
      <c r="V26">
        <f t="shared" si="7"/>
        <v>-4.8313333333333333E-2</v>
      </c>
      <c r="X26">
        <f t="shared" si="26"/>
        <v>58.333333333333329</v>
      </c>
      <c r="Y26">
        <f t="shared" si="8"/>
        <v>0.434695</v>
      </c>
      <c r="Z26">
        <f t="shared" si="9"/>
        <v>-4.8176666666666666E-2</v>
      </c>
      <c r="AB26">
        <f t="shared" si="27"/>
        <v>49.999999999999993</v>
      </c>
      <c r="AC26">
        <f t="shared" si="10"/>
        <v>0.43439</v>
      </c>
      <c r="AD26">
        <f t="shared" si="11"/>
        <v>-4.8039999999999999E-2</v>
      </c>
      <c r="AF26">
        <f t="shared" si="28"/>
        <v>41.666666666666664</v>
      </c>
      <c r="AG26">
        <f t="shared" si="12"/>
        <v>0.434085</v>
      </c>
      <c r="AH26">
        <f t="shared" si="13"/>
        <v>-4.7903333333333332E-2</v>
      </c>
      <c r="AJ26">
        <f t="shared" si="29"/>
        <v>33.333333333333329</v>
      </c>
      <c r="AK26">
        <f t="shared" si="14"/>
        <v>0.43378</v>
      </c>
      <c r="AL26">
        <f t="shared" si="15"/>
        <v>-4.7766666666666666E-2</v>
      </c>
      <c r="AN26">
        <f t="shared" si="30"/>
        <v>25</v>
      </c>
      <c r="AO26">
        <f t="shared" si="16"/>
        <v>0.433475</v>
      </c>
      <c r="AP26">
        <f t="shared" si="17"/>
        <v>-4.7629999999999999E-2</v>
      </c>
      <c r="AR26">
        <f t="shared" si="31"/>
        <v>16.666666666666657</v>
      </c>
      <c r="AS26">
        <f t="shared" si="18"/>
        <v>0.43317</v>
      </c>
      <c r="AT26">
        <f t="shared" si="19"/>
        <v>-4.7493333333333332E-2</v>
      </c>
      <c r="AV26">
        <f t="shared" si="32"/>
        <v>0</v>
      </c>
      <c r="AW26">
        <f t="shared" si="20"/>
        <v>0.43256</v>
      </c>
      <c r="AX26">
        <f t="shared" si="21"/>
        <v>-4.7219999999999998E-2</v>
      </c>
    </row>
    <row r="27" spans="1:50">
      <c r="A27" s="49">
        <v>24</v>
      </c>
      <c r="B27" s="20">
        <v>0.52234000000000003</v>
      </c>
      <c r="C27" s="20">
        <v>-4.4549999999999999E-2</v>
      </c>
      <c r="D27" s="16"/>
      <c r="E27" s="50">
        <v>0.52019000000000004</v>
      </c>
      <c r="F27" s="50">
        <v>-4.3020000000000003E-2</v>
      </c>
      <c r="G27" s="11"/>
      <c r="H27">
        <f t="shared" si="22"/>
        <v>91.666666666666657</v>
      </c>
      <c r="I27">
        <f t="shared" si="0"/>
        <v>0.52216083333333341</v>
      </c>
      <c r="J27">
        <f t="shared" si="1"/>
        <v>-4.4422499999999997E-2</v>
      </c>
      <c r="L27">
        <f t="shared" si="23"/>
        <v>83.333333333333329</v>
      </c>
      <c r="M27">
        <f t="shared" si="2"/>
        <v>0.52198166666666668</v>
      </c>
      <c r="N27">
        <f t="shared" si="3"/>
        <v>-4.4295000000000001E-2</v>
      </c>
      <c r="P27">
        <f t="shared" si="24"/>
        <v>75</v>
      </c>
      <c r="Q27">
        <f t="shared" si="4"/>
        <v>0.52180250000000006</v>
      </c>
      <c r="R27">
        <f t="shared" si="5"/>
        <v>-4.4167499999999998E-2</v>
      </c>
      <c r="T27">
        <f t="shared" si="25"/>
        <v>66.666666666666657</v>
      </c>
      <c r="U27">
        <f t="shared" si="6"/>
        <v>0.52162333333333333</v>
      </c>
      <c r="V27">
        <f t="shared" si="7"/>
        <v>-4.4040000000000003E-2</v>
      </c>
      <c r="X27">
        <f t="shared" si="26"/>
        <v>58.333333333333329</v>
      </c>
      <c r="Y27">
        <f t="shared" si="8"/>
        <v>0.52144416666666671</v>
      </c>
      <c r="Z27">
        <f t="shared" si="9"/>
        <v>-4.39125E-2</v>
      </c>
      <c r="AB27">
        <f t="shared" si="27"/>
        <v>49.999999999999993</v>
      </c>
      <c r="AC27">
        <f t="shared" si="10"/>
        <v>0.52126499999999998</v>
      </c>
      <c r="AD27">
        <f t="shared" si="11"/>
        <v>-4.3784999999999998E-2</v>
      </c>
      <c r="AF27">
        <f t="shared" si="28"/>
        <v>41.666666666666664</v>
      </c>
      <c r="AG27">
        <f t="shared" si="12"/>
        <v>0.52108583333333336</v>
      </c>
      <c r="AH27">
        <f t="shared" si="13"/>
        <v>-4.3657500000000002E-2</v>
      </c>
      <c r="AJ27">
        <f t="shared" si="29"/>
        <v>33.333333333333329</v>
      </c>
      <c r="AK27">
        <f t="shared" si="14"/>
        <v>0.52090666666666674</v>
      </c>
      <c r="AL27">
        <f t="shared" si="15"/>
        <v>-4.3529999999999999E-2</v>
      </c>
      <c r="AN27">
        <f t="shared" si="30"/>
        <v>25</v>
      </c>
      <c r="AO27">
        <f t="shared" si="16"/>
        <v>0.52072750000000001</v>
      </c>
      <c r="AP27">
        <f t="shared" si="17"/>
        <v>-4.3402500000000004E-2</v>
      </c>
      <c r="AR27">
        <f t="shared" si="31"/>
        <v>16.666666666666657</v>
      </c>
      <c r="AS27">
        <f t="shared" si="18"/>
        <v>0.52054833333333339</v>
      </c>
      <c r="AT27">
        <f t="shared" si="19"/>
        <v>-4.3275000000000001E-2</v>
      </c>
      <c r="AV27">
        <f t="shared" si="32"/>
        <v>0</v>
      </c>
      <c r="AW27">
        <f t="shared" si="20"/>
        <v>0.52019000000000004</v>
      </c>
      <c r="AX27">
        <f t="shared" si="21"/>
        <v>-4.3020000000000003E-2</v>
      </c>
    </row>
    <row r="28" spans="1:50">
      <c r="A28" s="49">
        <v>25</v>
      </c>
      <c r="B28" s="20">
        <v>0.60845000000000005</v>
      </c>
      <c r="C28" s="20">
        <v>-3.884E-2</v>
      </c>
      <c r="D28" s="16"/>
      <c r="E28" s="50">
        <v>0.60809000000000002</v>
      </c>
      <c r="F28" s="50">
        <v>-3.7470000000000003E-2</v>
      </c>
      <c r="G28" s="11"/>
      <c r="H28">
        <f t="shared" si="22"/>
        <v>91.666666666666657</v>
      </c>
      <c r="I28">
        <f t="shared" si="0"/>
        <v>0.60842000000000007</v>
      </c>
      <c r="J28">
        <f t="shared" si="1"/>
        <v>-3.8725833333333334E-2</v>
      </c>
      <c r="L28">
        <f t="shared" si="23"/>
        <v>83.333333333333329</v>
      </c>
      <c r="M28">
        <f t="shared" si="2"/>
        <v>0.60838999999999999</v>
      </c>
      <c r="N28">
        <f t="shared" si="3"/>
        <v>-3.8611666666666669E-2</v>
      </c>
      <c r="P28">
        <f t="shared" si="24"/>
        <v>75</v>
      </c>
      <c r="Q28">
        <f t="shared" si="4"/>
        <v>0.60836000000000001</v>
      </c>
      <c r="R28">
        <f t="shared" si="5"/>
        <v>-3.8497500000000004E-2</v>
      </c>
      <c r="T28">
        <f t="shared" si="25"/>
        <v>66.666666666666657</v>
      </c>
      <c r="U28">
        <f t="shared" si="6"/>
        <v>0.60833000000000004</v>
      </c>
      <c r="V28">
        <f t="shared" si="7"/>
        <v>-3.8383333333333332E-2</v>
      </c>
      <c r="X28">
        <f t="shared" si="26"/>
        <v>58.333333333333329</v>
      </c>
      <c r="Y28">
        <f t="shared" si="8"/>
        <v>0.60830000000000006</v>
      </c>
      <c r="Z28">
        <f t="shared" si="9"/>
        <v>-3.8269166666666667E-2</v>
      </c>
      <c r="AB28">
        <f t="shared" si="27"/>
        <v>49.999999999999993</v>
      </c>
      <c r="AC28">
        <f t="shared" si="10"/>
        <v>0.60826999999999998</v>
      </c>
      <c r="AD28">
        <f t="shared" si="11"/>
        <v>-3.8155000000000001E-2</v>
      </c>
      <c r="AF28">
        <f t="shared" si="28"/>
        <v>41.666666666666664</v>
      </c>
      <c r="AG28">
        <f t="shared" si="12"/>
        <v>0.60824</v>
      </c>
      <c r="AH28">
        <f t="shared" si="13"/>
        <v>-3.8040833333333336E-2</v>
      </c>
      <c r="AJ28">
        <f t="shared" si="29"/>
        <v>33.333333333333329</v>
      </c>
      <c r="AK28">
        <f t="shared" si="14"/>
        <v>0.60821000000000003</v>
      </c>
      <c r="AL28">
        <f t="shared" si="15"/>
        <v>-3.7926666666666671E-2</v>
      </c>
      <c r="AN28">
        <f t="shared" si="30"/>
        <v>25</v>
      </c>
      <c r="AO28">
        <f t="shared" si="16"/>
        <v>0.60818000000000005</v>
      </c>
      <c r="AP28">
        <f t="shared" si="17"/>
        <v>-3.7812499999999999E-2</v>
      </c>
      <c r="AR28">
        <f t="shared" si="31"/>
        <v>16.666666666666657</v>
      </c>
      <c r="AS28">
        <f t="shared" si="18"/>
        <v>0.60814999999999997</v>
      </c>
      <c r="AT28">
        <f t="shared" si="19"/>
        <v>-3.7698333333333334E-2</v>
      </c>
      <c r="AV28">
        <f t="shared" si="32"/>
        <v>0</v>
      </c>
      <c r="AW28">
        <f t="shared" si="20"/>
        <v>0.60809000000000002</v>
      </c>
      <c r="AX28">
        <f t="shared" si="21"/>
        <v>-3.7470000000000003E-2</v>
      </c>
    </row>
    <row r="29" spans="1:50">
      <c r="A29" s="49">
        <v>26</v>
      </c>
      <c r="B29" s="20">
        <v>0.69442000000000004</v>
      </c>
      <c r="C29" s="20">
        <v>-3.1780000000000003E-2</v>
      </c>
      <c r="D29" s="16"/>
      <c r="E29" s="50">
        <v>0.69613000000000003</v>
      </c>
      <c r="F29" s="50">
        <v>-3.0849999999999999E-2</v>
      </c>
      <c r="G29" s="11"/>
      <c r="H29">
        <f t="shared" si="22"/>
        <v>91.666666666666657</v>
      </c>
      <c r="I29">
        <f t="shared" si="0"/>
        <v>0.69456250000000008</v>
      </c>
      <c r="J29">
        <f t="shared" si="1"/>
        <v>-3.1702500000000002E-2</v>
      </c>
      <c r="L29">
        <f t="shared" si="23"/>
        <v>83.333333333333329</v>
      </c>
      <c r="M29">
        <f t="shared" si="2"/>
        <v>0.69470500000000002</v>
      </c>
      <c r="N29">
        <f t="shared" si="3"/>
        <v>-3.1625E-2</v>
      </c>
      <c r="P29">
        <f t="shared" si="24"/>
        <v>75</v>
      </c>
      <c r="Q29">
        <f t="shared" si="4"/>
        <v>0.69484750000000006</v>
      </c>
      <c r="R29">
        <f t="shared" si="5"/>
        <v>-3.1547499999999999E-2</v>
      </c>
      <c r="T29">
        <f t="shared" si="25"/>
        <v>66.666666666666657</v>
      </c>
      <c r="U29">
        <f t="shared" si="6"/>
        <v>0.69499</v>
      </c>
      <c r="V29">
        <f t="shared" si="7"/>
        <v>-3.1469999999999998E-2</v>
      </c>
      <c r="X29">
        <f t="shared" si="26"/>
        <v>58.333333333333329</v>
      </c>
      <c r="Y29">
        <f t="shared" si="8"/>
        <v>0.69513250000000004</v>
      </c>
      <c r="Z29">
        <f t="shared" si="9"/>
        <v>-3.1392500000000004E-2</v>
      </c>
      <c r="AB29">
        <f t="shared" si="27"/>
        <v>49.999999999999993</v>
      </c>
      <c r="AC29">
        <f t="shared" si="10"/>
        <v>0.69527500000000009</v>
      </c>
      <c r="AD29">
        <f t="shared" si="11"/>
        <v>-3.1315000000000003E-2</v>
      </c>
      <c r="AF29">
        <f t="shared" si="28"/>
        <v>41.666666666666664</v>
      </c>
      <c r="AG29">
        <f t="shared" si="12"/>
        <v>0.69541750000000002</v>
      </c>
      <c r="AH29">
        <f t="shared" si="13"/>
        <v>-3.1237500000000001E-2</v>
      </c>
      <c r="AJ29">
        <f t="shared" si="29"/>
        <v>33.333333333333329</v>
      </c>
      <c r="AK29">
        <f t="shared" si="14"/>
        <v>0.69556000000000007</v>
      </c>
      <c r="AL29">
        <f t="shared" si="15"/>
        <v>-3.116E-2</v>
      </c>
      <c r="AN29">
        <f t="shared" si="30"/>
        <v>25</v>
      </c>
      <c r="AO29">
        <f t="shared" si="16"/>
        <v>0.6957025</v>
      </c>
      <c r="AP29">
        <f t="shared" si="17"/>
        <v>-3.1082499999999999E-2</v>
      </c>
      <c r="AR29">
        <f t="shared" si="31"/>
        <v>16.666666666666657</v>
      </c>
      <c r="AS29">
        <f t="shared" si="18"/>
        <v>0.69584500000000005</v>
      </c>
      <c r="AT29">
        <f t="shared" si="19"/>
        <v>-3.1004999999999998E-2</v>
      </c>
      <c r="AV29">
        <f t="shared" si="32"/>
        <v>0</v>
      </c>
      <c r="AW29">
        <f t="shared" si="20"/>
        <v>0.69613000000000003</v>
      </c>
      <c r="AX29">
        <f t="shared" si="21"/>
        <v>-3.0849999999999999E-2</v>
      </c>
    </row>
    <row r="30" spans="1:50">
      <c r="A30" s="49">
        <v>27</v>
      </c>
      <c r="B30" s="20">
        <v>0.78025</v>
      </c>
      <c r="C30" s="20">
        <v>-2.383E-2</v>
      </c>
      <c r="D30" s="16"/>
      <c r="E30" s="50">
        <v>0.78420000000000001</v>
      </c>
      <c r="F30" s="50">
        <v>-2.3300000000000001E-2</v>
      </c>
      <c r="G30" s="11"/>
      <c r="H30">
        <f t="shared" si="22"/>
        <v>91.666666666666657</v>
      </c>
      <c r="I30">
        <f t="shared" si="0"/>
        <v>0.78057916666666671</v>
      </c>
      <c r="J30">
        <f t="shared" si="1"/>
        <v>-2.3785833333333332E-2</v>
      </c>
      <c r="L30">
        <f t="shared" si="23"/>
        <v>83.333333333333329</v>
      </c>
      <c r="M30">
        <f t="shared" si="2"/>
        <v>0.78090833333333332</v>
      </c>
      <c r="N30">
        <f t="shared" si="3"/>
        <v>-2.3741666666666668E-2</v>
      </c>
      <c r="P30">
        <f t="shared" si="24"/>
        <v>75</v>
      </c>
      <c r="Q30">
        <f t="shared" si="4"/>
        <v>0.78123750000000003</v>
      </c>
      <c r="R30">
        <f t="shared" si="5"/>
        <v>-2.36975E-2</v>
      </c>
      <c r="T30">
        <f t="shared" si="25"/>
        <v>66.666666666666657</v>
      </c>
      <c r="U30">
        <f t="shared" si="6"/>
        <v>0.78156666666666663</v>
      </c>
      <c r="V30">
        <f t="shared" si="7"/>
        <v>-2.3653333333333335E-2</v>
      </c>
      <c r="X30">
        <f t="shared" si="26"/>
        <v>58.333333333333329</v>
      </c>
      <c r="Y30">
        <f t="shared" si="8"/>
        <v>0.78189583333333335</v>
      </c>
      <c r="Z30">
        <f t="shared" si="9"/>
        <v>-2.3609166666666667E-2</v>
      </c>
      <c r="AB30">
        <f t="shared" si="27"/>
        <v>49.999999999999993</v>
      </c>
      <c r="AC30">
        <f t="shared" si="10"/>
        <v>0.78222500000000006</v>
      </c>
      <c r="AD30">
        <f t="shared" si="11"/>
        <v>-2.3564999999999999E-2</v>
      </c>
      <c r="AF30">
        <f t="shared" si="28"/>
        <v>41.666666666666664</v>
      </c>
      <c r="AG30">
        <f t="shared" si="12"/>
        <v>0.78255416666666666</v>
      </c>
      <c r="AH30">
        <f t="shared" si="13"/>
        <v>-2.3520833333333335E-2</v>
      </c>
      <c r="AJ30">
        <f t="shared" si="29"/>
        <v>33.333333333333329</v>
      </c>
      <c r="AK30">
        <f t="shared" si="14"/>
        <v>0.78288333333333338</v>
      </c>
      <c r="AL30">
        <f t="shared" si="15"/>
        <v>-2.3476666666666667E-2</v>
      </c>
      <c r="AN30">
        <f t="shared" si="30"/>
        <v>25</v>
      </c>
      <c r="AO30">
        <f t="shared" si="16"/>
        <v>0.78321249999999998</v>
      </c>
      <c r="AP30">
        <f t="shared" si="17"/>
        <v>-2.3432500000000002E-2</v>
      </c>
      <c r="AR30">
        <f t="shared" si="31"/>
        <v>16.666666666666657</v>
      </c>
      <c r="AS30">
        <f t="shared" si="18"/>
        <v>0.78354166666666669</v>
      </c>
      <c r="AT30">
        <f t="shared" si="19"/>
        <v>-2.3388333333333334E-2</v>
      </c>
      <c r="AV30">
        <f t="shared" si="32"/>
        <v>0</v>
      </c>
      <c r="AW30">
        <f t="shared" si="20"/>
        <v>0.78420000000000001</v>
      </c>
      <c r="AX30">
        <f t="shared" si="21"/>
        <v>-2.3300000000000001E-2</v>
      </c>
    </row>
    <row r="31" spans="1:50">
      <c r="A31" s="49">
        <v>28</v>
      </c>
      <c r="B31" s="20">
        <v>0.86600999999999995</v>
      </c>
      <c r="C31" s="20">
        <v>-1.478E-2</v>
      </c>
      <c r="D31" s="16"/>
      <c r="E31" s="50">
        <v>0.87217999999999996</v>
      </c>
      <c r="F31" s="50">
        <v>-1.49E-2</v>
      </c>
      <c r="G31" s="11"/>
      <c r="H31">
        <f t="shared" si="22"/>
        <v>91.666666666666657</v>
      </c>
      <c r="I31">
        <f t="shared" si="0"/>
        <v>0.86652416666666665</v>
      </c>
      <c r="J31">
        <f t="shared" si="1"/>
        <v>-1.4789999999999999E-2</v>
      </c>
      <c r="L31">
        <f t="shared" si="23"/>
        <v>83.333333333333329</v>
      </c>
      <c r="M31">
        <f t="shared" si="2"/>
        <v>0.86703833333333324</v>
      </c>
      <c r="N31">
        <f t="shared" si="3"/>
        <v>-1.4800000000000001E-2</v>
      </c>
      <c r="P31">
        <f t="shared" si="24"/>
        <v>75</v>
      </c>
      <c r="Q31">
        <f t="shared" si="4"/>
        <v>0.86755249999999995</v>
      </c>
      <c r="R31">
        <f t="shared" si="5"/>
        <v>-1.481E-2</v>
      </c>
      <c r="T31">
        <f t="shared" si="25"/>
        <v>66.666666666666657</v>
      </c>
      <c r="U31">
        <f t="shared" si="6"/>
        <v>0.86806666666666665</v>
      </c>
      <c r="V31">
        <f t="shared" si="7"/>
        <v>-1.482E-2</v>
      </c>
      <c r="X31">
        <f t="shared" si="26"/>
        <v>58.333333333333329</v>
      </c>
      <c r="Y31">
        <f t="shared" si="8"/>
        <v>0.86858083333333325</v>
      </c>
      <c r="Z31">
        <f t="shared" si="9"/>
        <v>-1.4829999999999999E-2</v>
      </c>
      <c r="AB31">
        <f t="shared" si="27"/>
        <v>49.999999999999993</v>
      </c>
      <c r="AC31">
        <f t="shared" si="10"/>
        <v>0.86909499999999995</v>
      </c>
      <c r="AD31">
        <f t="shared" si="11"/>
        <v>-1.4840000000000001E-2</v>
      </c>
      <c r="AF31">
        <f t="shared" si="28"/>
        <v>41.666666666666664</v>
      </c>
      <c r="AG31">
        <f t="shared" si="12"/>
        <v>0.86960916666666666</v>
      </c>
      <c r="AH31">
        <f t="shared" si="13"/>
        <v>-1.485E-2</v>
      </c>
      <c r="AJ31">
        <f t="shared" si="29"/>
        <v>33.333333333333329</v>
      </c>
      <c r="AK31">
        <f t="shared" si="14"/>
        <v>0.87012333333333325</v>
      </c>
      <c r="AL31">
        <f t="shared" si="15"/>
        <v>-1.486E-2</v>
      </c>
      <c r="AN31">
        <f t="shared" si="30"/>
        <v>25</v>
      </c>
      <c r="AO31">
        <f t="shared" si="16"/>
        <v>0.87063749999999995</v>
      </c>
      <c r="AP31">
        <f t="shared" si="17"/>
        <v>-1.487E-2</v>
      </c>
      <c r="AR31">
        <f t="shared" si="31"/>
        <v>16.666666666666657</v>
      </c>
      <c r="AS31">
        <f t="shared" si="18"/>
        <v>0.87115166666666666</v>
      </c>
      <c r="AT31">
        <f t="shared" si="19"/>
        <v>-1.4880000000000001E-2</v>
      </c>
      <c r="AV31">
        <f t="shared" si="32"/>
        <v>0</v>
      </c>
      <c r="AW31">
        <f t="shared" si="20"/>
        <v>0.87217999999999996</v>
      </c>
      <c r="AX31">
        <f t="shared" si="21"/>
        <v>-1.49E-2</v>
      </c>
    </row>
    <row r="32" spans="1:50">
      <c r="A32" s="49">
        <v>29</v>
      </c>
      <c r="B32" s="20">
        <v>0.95123000000000002</v>
      </c>
      <c r="C32" s="20">
        <v>-5.2100000000000002E-3</v>
      </c>
      <c r="D32" s="16"/>
      <c r="E32" s="50">
        <v>0.95823000000000003</v>
      </c>
      <c r="F32" s="50">
        <v>-5.8100000000000001E-3</v>
      </c>
      <c r="G32" s="11"/>
      <c r="H32">
        <f t="shared" si="22"/>
        <v>91.666666666666657</v>
      </c>
      <c r="I32">
        <f t="shared" si="0"/>
        <v>0.9518133333333334</v>
      </c>
      <c r="J32">
        <f t="shared" si="1"/>
        <v>-5.2599999999999999E-3</v>
      </c>
      <c r="L32">
        <f t="shared" si="23"/>
        <v>83.333333333333329</v>
      </c>
      <c r="M32">
        <f t="shared" si="2"/>
        <v>0.95239666666666667</v>
      </c>
      <c r="N32">
        <f t="shared" si="3"/>
        <v>-5.3100000000000005E-3</v>
      </c>
      <c r="P32">
        <f t="shared" si="24"/>
        <v>75</v>
      </c>
      <c r="Q32">
        <f t="shared" si="4"/>
        <v>0.95298000000000005</v>
      </c>
      <c r="R32">
        <f t="shared" si="5"/>
        <v>-5.3600000000000002E-3</v>
      </c>
      <c r="T32">
        <f t="shared" si="25"/>
        <v>66.666666666666657</v>
      </c>
      <c r="U32">
        <f t="shared" si="6"/>
        <v>0.95356333333333332</v>
      </c>
      <c r="V32">
        <f t="shared" si="7"/>
        <v>-5.4099999999999999E-3</v>
      </c>
      <c r="X32">
        <f t="shared" si="26"/>
        <v>58.333333333333329</v>
      </c>
      <c r="Y32">
        <f t="shared" si="8"/>
        <v>0.9541466666666667</v>
      </c>
      <c r="Z32">
        <f t="shared" si="9"/>
        <v>-5.4600000000000004E-3</v>
      </c>
      <c r="AB32">
        <f t="shared" si="27"/>
        <v>49.999999999999993</v>
      </c>
      <c r="AC32">
        <f t="shared" si="10"/>
        <v>0.95473000000000008</v>
      </c>
      <c r="AD32">
        <f t="shared" si="11"/>
        <v>-5.5100000000000001E-3</v>
      </c>
      <c r="AF32">
        <f t="shared" si="28"/>
        <v>41.666666666666664</v>
      </c>
      <c r="AG32">
        <f t="shared" si="12"/>
        <v>0.95531333333333335</v>
      </c>
      <c r="AH32">
        <f t="shared" si="13"/>
        <v>-5.5599999999999998E-3</v>
      </c>
      <c r="AJ32">
        <f t="shared" si="29"/>
        <v>33.333333333333329</v>
      </c>
      <c r="AK32">
        <f t="shared" si="14"/>
        <v>0.95589666666666673</v>
      </c>
      <c r="AL32">
        <f t="shared" si="15"/>
        <v>-5.6100000000000004E-3</v>
      </c>
      <c r="AN32">
        <f t="shared" si="30"/>
        <v>25</v>
      </c>
      <c r="AO32">
        <f t="shared" si="16"/>
        <v>0.95648</v>
      </c>
      <c r="AP32">
        <f t="shared" si="17"/>
        <v>-5.6600000000000001E-3</v>
      </c>
      <c r="AR32">
        <f t="shared" si="31"/>
        <v>16.666666666666657</v>
      </c>
      <c r="AS32">
        <f t="shared" si="18"/>
        <v>0.95706333333333338</v>
      </c>
      <c r="AT32">
        <f t="shared" si="19"/>
        <v>-5.7099999999999998E-3</v>
      </c>
      <c r="AV32">
        <f t="shared" si="32"/>
        <v>0</v>
      </c>
      <c r="AW32">
        <f t="shared" si="20"/>
        <v>0.95823000000000003</v>
      </c>
      <c r="AX32">
        <f t="shared" si="21"/>
        <v>-5.8100000000000001E-3</v>
      </c>
    </row>
    <row r="33" spans="1:50">
      <c r="A33" s="49">
        <v>30</v>
      </c>
      <c r="B33" s="20">
        <v>1</v>
      </c>
      <c r="C33" s="20">
        <v>1.3999999999999999E-4</v>
      </c>
      <c r="D33" s="16"/>
      <c r="E33" s="50">
        <v>1</v>
      </c>
      <c r="F33" s="50">
        <v>-1.0499999999999999E-3</v>
      </c>
      <c r="G33" s="11"/>
      <c r="H33">
        <f t="shared" si="22"/>
        <v>91.666666666666657</v>
      </c>
      <c r="I33">
        <f t="shared" si="0"/>
        <v>1</v>
      </c>
      <c r="J33">
        <f t="shared" si="1"/>
        <v>4.083333333333326E-5</v>
      </c>
      <c r="L33">
        <f t="shared" si="23"/>
        <v>83.333333333333329</v>
      </c>
      <c r="M33">
        <f t="shared" si="2"/>
        <v>1</v>
      </c>
      <c r="N33">
        <f t="shared" si="3"/>
        <v>-5.8333333333333414E-5</v>
      </c>
      <c r="P33">
        <f t="shared" si="24"/>
        <v>75</v>
      </c>
      <c r="Q33">
        <f t="shared" si="4"/>
        <v>1</v>
      </c>
      <c r="R33">
        <f t="shared" si="5"/>
        <v>-1.5749999999999998E-4</v>
      </c>
      <c r="T33">
        <f t="shared" si="25"/>
        <v>66.666666666666657</v>
      </c>
      <c r="U33">
        <f t="shared" si="6"/>
        <v>1</v>
      </c>
      <c r="V33">
        <f t="shared" si="7"/>
        <v>-2.5666666666666687E-4</v>
      </c>
      <c r="X33">
        <f t="shared" si="26"/>
        <v>58.333333333333329</v>
      </c>
      <c r="Y33">
        <f t="shared" si="8"/>
        <v>1</v>
      </c>
      <c r="Z33">
        <f t="shared" si="9"/>
        <v>-3.5583333333333344E-4</v>
      </c>
      <c r="AB33">
        <f t="shared" si="27"/>
        <v>49.999999999999993</v>
      </c>
      <c r="AC33">
        <f t="shared" si="10"/>
        <v>1</v>
      </c>
      <c r="AD33">
        <f t="shared" si="11"/>
        <v>-4.5500000000000011E-4</v>
      </c>
      <c r="AF33">
        <f t="shared" si="28"/>
        <v>41.666666666666664</v>
      </c>
      <c r="AG33">
        <f t="shared" si="12"/>
        <v>1</v>
      </c>
      <c r="AH33">
        <f t="shared" si="13"/>
        <v>-5.5416666666666667E-4</v>
      </c>
      <c r="AJ33">
        <f t="shared" si="29"/>
        <v>33.333333333333329</v>
      </c>
      <c r="AK33">
        <f t="shared" si="14"/>
        <v>1</v>
      </c>
      <c r="AL33">
        <f t="shared" si="15"/>
        <v>-6.5333333333333346E-4</v>
      </c>
      <c r="AN33">
        <f t="shared" si="30"/>
        <v>25</v>
      </c>
      <c r="AO33">
        <f t="shared" si="16"/>
        <v>1</v>
      </c>
      <c r="AP33">
        <f t="shared" si="17"/>
        <v>-7.5249999999999991E-4</v>
      </c>
      <c r="AR33">
        <f t="shared" si="31"/>
        <v>16.666666666666657</v>
      </c>
      <c r="AS33">
        <f t="shared" si="18"/>
        <v>1</v>
      </c>
      <c r="AT33">
        <f t="shared" si="19"/>
        <v>-8.516666666666667E-4</v>
      </c>
      <c r="AV33">
        <f t="shared" si="32"/>
        <v>0</v>
      </c>
      <c r="AW33">
        <f t="shared" si="20"/>
        <v>1</v>
      </c>
      <c r="AX33">
        <f t="shared" si="21"/>
        <v>-1.0499999999999999E-3</v>
      </c>
    </row>
    <row r="34" spans="1:50" ht="15" thickBot="1">
      <c r="A34" s="12"/>
      <c r="B34" s="25"/>
      <c r="C34" s="25"/>
      <c r="D34" s="25"/>
      <c r="E34" s="25"/>
      <c r="F34" s="25"/>
      <c r="G34" s="13"/>
    </row>
  </sheetData>
  <mergeCells count="13">
    <mergeCell ref="AV2:AX2"/>
    <mergeCell ref="X2:Z2"/>
    <mergeCell ref="AB2:AD2"/>
    <mergeCell ref="AJ2:AL2"/>
    <mergeCell ref="AR2:AT2"/>
    <mergeCell ref="AF2:AH2"/>
    <mergeCell ref="AN2:AP2"/>
    <mergeCell ref="B2:C2"/>
    <mergeCell ref="H2:J2"/>
    <mergeCell ref="L2:N2"/>
    <mergeCell ref="P2:R2"/>
    <mergeCell ref="T2:V2"/>
    <mergeCell ref="E2:F2"/>
  </mergeCells>
  <pageMargins left="0.7" right="0.7" top="0.75" bottom="0.75" header="0.3" footer="0.3"/>
  <pageSetup paperSize="9" orientation="portrait" horizontalDpi="300" verticalDpi="300"/>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0"/>
  <sheetViews>
    <sheetView topLeftCell="A35" zoomScale="80" zoomScaleNormal="80" zoomScalePageLayoutView="80" workbookViewId="0">
      <selection activeCell="M68" sqref="M68"/>
    </sheetView>
  </sheetViews>
  <sheetFormatPr baseColWidth="10" defaultColWidth="8.83203125" defaultRowHeight="14" x14ac:dyDescent="0"/>
  <cols>
    <col min="1" max="1" width="27.1640625" customWidth="1"/>
    <col min="2" max="2" width="11.33203125" customWidth="1"/>
    <col min="3" max="3" width="13.6640625" customWidth="1"/>
    <col min="4" max="4" width="13.5" customWidth="1"/>
  </cols>
  <sheetData>
    <row r="1" spans="1:14" ht="15" thickBot="1">
      <c r="A1" s="6"/>
    </row>
    <row r="2" spans="1:14" ht="15" thickBot="1">
      <c r="A2" t="s">
        <v>131</v>
      </c>
      <c r="B2" s="66">
        <v>0</v>
      </c>
    </row>
    <row r="3" spans="1:14" ht="15" thickBot="1">
      <c r="A3" t="s">
        <v>102</v>
      </c>
      <c r="B3" s="67" t="s">
        <v>4</v>
      </c>
      <c r="C3" s="68">
        <v>2</v>
      </c>
      <c r="D3" s="68">
        <v>3</v>
      </c>
      <c r="E3" s="68">
        <v>4</v>
      </c>
      <c r="F3" s="68">
        <v>5</v>
      </c>
      <c r="G3" s="68">
        <v>6</v>
      </c>
      <c r="H3" s="68">
        <v>7</v>
      </c>
      <c r="I3" s="68">
        <v>8</v>
      </c>
      <c r="J3" s="68">
        <v>9</v>
      </c>
      <c r="K3" s="68">
        <v>10</v>
      </c>
      <c r="L3" s="68">
        <v>11</v>
      </c>
      <c r="M3" s="68">
        <v>12</v>
      </c>
      <c r="N3" s="69" t="s">
        <v>3</v>
      </c>
    </row>
    <row r="4" spans="1:14">
      <c r="A4" s="47" t="s">
        <v>57</v>
      </c>
      <c r="B4">
        <f>2*N5</f>
        <v>1.9423696867486371</v>
      </c>
      <c r="C4">
        <f>B4</f>
        <v>1.9423696867486371</v>
      </c>
      <c r="D4">
        <f t="shared" ref="D4:N4" si="0">C4</f>
        <v>1.9423696867486371</v>
      </c>
      <c r="E4">
        <f t="shared" si="0"/>
        <v>1.9423696867486371</v>
      </c>
      <c r="F4">
        <f t="shared" si="0"/>
        <v>1.9423696867486371</v>
      </c>
      <c r="G4">
        <f t="shared" si="0"/>
        <v>1.9423696867486371</v>
      </c>
      <c r="H4">
        <f t="shared" si="0"/>
        <v>1.9423696867486371</v>
      </c>
      <c r="I4">
        <f t="shared" si="0"/>
        <v>1.9423696867486371</v>
      </c>
      <c r="J4">
        <f t="shared" si="0"/>
        <v>1.9423696867486371</v>
      </c>
      <c r="K4">
        <f t="shared" si="0"/>
        <v>1.9423696867486371</v>
      </c>
      <c r="L4">
        <f t="shared" si="0"/>
        <v>1.9423696867486371</v>
      </c>
      <c r="M4">
        <f t="shared" si="0"/>
        <v>1.9423696867486371</v>
      </c>
      <c r="N4">
        <f t="shared" si="0"/>
        <v>1.9423696867486371</v>
      </c>
    </row>
    <row r="5" spans="1:14">
      <c r="A5" t="s">
        <v>103</v>
      </c>
      <c r="B5">
        <f>'Planform Geometry'!G52</f>
        <v>0</v>
      </c>
      <c r="C5">
        <f>'Planform Geometry'!H52</f>
        <v>8.093207028119323E-2</v>
      </c>
      <c r="D5">
        <f>'Planform Geometry'!I52</f>
        <v>0.16186414056238646</v>
      </c>
      <c r="E5">
        <f>'Planform Geometry'!J52</f>
        <v>0.24279621084357969</v>
      </c>
      <c r="F5">
        <f>'Planform Geometry'!K52</f>
        <v>0.32372828112477292</v>
      </c>
      <c r="G5">
        <f>'Planform Geometry'!L52</f>
        <v>0.40466035140596612</v>
      </c>
      <c r="H5">
        <f>'Planform Geometry'!M52</f>
        <v>0.48559242168715933</v>
      </c>
      <c r="I5">
        <f>'Planform Geometry'!N52</f>
        <v>0.56652449196835253</v>
      </c>
      <c r="J5">
        <f>'Planform Geometry'!O52</f>
        <v>0.64745656224954573</v>
      </c>
      <c r="K5">
        <f>'Planform Geometry'!P52</f>
        <v>0.72838863253073893</v>
      </c>
      <c r="L5">
        <f>'Planform Geometry'!Q52</f>
        <v>0.80932070281193214</v>
      </c>
      <c r="M5">
        <f>'Planform Geometry'!R52</f>
        <v>0.89025277309312534</v>
      </c>
      <c r="N5">
        <f>'Planform Geometry'!S52</f>
        <v>0.97118484337431854</v>
      </c>
    </row>
    <row r="6" spans="1:14">
      <c r="A6" t="s">
        <v>104</v>
      </c>
      <c r="B6">
        <f ca="1">'Twist and Trim'!F2</f>
        <v>0.78825650673663228</v>
      </c>
      <c r="C6">
        <f ca="1">'Twist and Trim'!G2</f>
        <v>0.65165325711649091</v>
      </c>
      <c r="D6">
        <f ca="1">'Twist and Trim'!H2</f>
        <v>0.55529000879422674</v>
      </c>
      <c r="E6">
        <f ca="1">'Twist and Trim'!I2</f>
        <v>0.4881126830176839</v>
      </c>
      <c r="F6">
        <f ca="1">'Twist and Trim'!J2</f>
        <v>0.4486998576808523</v>
      </c>
      <c r="G6">
        <f ca="1">'Twist and Trim'!K2</f>
        <v>0.40928703234402064</v>
      </c>
      <c r="H6">
        <f ca="1">'Twist and Trim'!L2</f>
        <v>0.36987420700718898</v>
      </c>
      <c r="I6">
        <f ca="1">'Twist and Trim'!M2</f>
        <v>0.33046138167035732</v>
      </c>
      <c r="J6">
        <f ca="1">'Twist and Trim'!N2</f>
        <v>0.29104855633352572</v>
      </c>
      <c r="K6">
        <f ca="1">'Twist and Trim'!O2</f>
        <v>0.25163573099669406</v>
      </c>
      <c r="L6">
        <f ca="1">'Twist and Trim'!P2</f>
        <v>0.21222290565986257</v>
      </c>
      <c r="M6">
        <f ca="1">'Twist and Trim'!Q2</f>
        <v>0.1728100803230308</v>
      </c>
      <c r="N6">
        <f ca="1">'Twist and Trim'!R2</f>
        <v>0.13339725498619937</v>
      </c>
    </row>
    <row r="7" spans="1:14">
      <c r="A7" t="s">
        <v>105</v>
      </c>
      <c r="B7">
        <f>-'Planform Geometry'!G53</f>
        <v>0</v>
      </c>
      <c r="C7">
        <f>-'Planform Geometry'!H53</f>
        <v>5.0540113541005682E-2</v>
      </c>
      <c r="D7">
        <f>-'Planform Geometry'!I53</f>
        <v>0.10108022708201136</v>
      </c>
      <c r="E7">
        <f>-'Planform Geometry'!J53</f>
        <v>0.15162034062301705</v>
      </c>
      <c r="F7">
        <f>-'Planform Geometry'!K53</f>
        <v>0.20216045416402273</v>
      </c>
      <c r="G7">
        <f>-'Planform Geometry'!L53</f>
        <v>0.25270056770502841</v>
      </c>
      <c r="H7">
        <f>-'Planform Geometry'!M53</f>
        <v>0.30324068124603404</v>
      </c>
      <c r="I7">
        <f>-'Planform Geometry'!N53</f>
        <v>0.35378079478703972</v>
      </c>
      <c r="J7">
        <f>-'Planform Geometry'!O53</f>
        <v>0.40432090832804535</v>
      </c>
      <c r="K7">
        <f>-'Planform Geometry'!P53</f>
        <v>0.45486102186905103</v>
      </c>
      <c r="L7">
        <f>-'Planform Geometry'!Q53</f>
        <v>0.50540113541005671</v>
      </c>
      <c r="M7">
        <f>-'Planform Geometry'!R53</f>
        <v>0.55594124895106234</v>
      </c>
      <c r="N7">
        <f>-'Planform Geometry'!S53</f>
        <v>0.60648136249206797</v>
      </c>
    </row>
    <row r="8" spans="1:14">
      <c r="A8" t="s">
        <v>106</v>
      </c>
      <c r="B8" s="34">
        <f ca="1">'Twist and Trim'!F48</f>
        <v>6.5953225985272219</v>
      </c>
      <c r="C8" s="34">
        <f ca="1">'Twist and Trim'!G48</f>
        <v>7.4454245054530679</v>
      </c>
      <c r="D8" s="34">
        <f ca="1">'Twist and Trim'!H48</f>
        <v>8.0645313765185396</v>
      </c>
      <c r="E8" s="34">
        <f ca="1">'Twist and Trim'!I48</f>
        <v>8.3468212260385748</v>
      </c>
      <c r="F8" s="34">
        <f ca="1">'Twist and Trim'!J48</f>
        <v>8.1251588848170666</v>
      </c>
      <c r="G8" s="34">
        <f ca="1">'Twist and Trim'!K48</f>
        <v>7.6784723507248209</v>
      </c>
      <c r="H8" s="34">
        <f ca="1">'Twist and Trim'!L48</f>
        <v>6.9841614830261847</v>
      </c>
      <c r="I8" s="34">
        <f ca="1">'Twist and Trim'!M48</f>
        <v>6.0160156517542562</v>
      </c>
      <c r="J8" s="34">
        <f ca="1">'Twist and Trim'!N48</f>
        <v>4.7440780977776518</v>
      </c>
      <c r="K8" s="34">
        <f ca="1">'Twist and Trim'!O48</f>
        <v>3.1364771353033585</v>
      </c>
      <c r="L8" s="34">
        <f ca="1">'Twist and Trim'!P48</f>
        <v>1.1692193954875978</v>
      </c>
      <c r="M8" s="34">
        <f ca="1">'Twist and Trim'!Q48</f>
        <v>-1.1275666166110274</v>
      </c>
      <c r="N8" s="34">
        <f ca="1">'Twist and Trim'!R48</f>
        <v>-5.1877020871426227</v>
      </c>
    </row>
    <row r="9" spans="1:14">
      <c r="A9" t="s">
        <v>107</v>
      </c>
      <c r="B9">
        <f>C5-B5</f>
        <v>8.093207028119323E-2</v>
      </c>
      <c r="C9">
        <f t="shared" ref="C9:M9" si="1">D5-C5</f>
        <v>8.093207028119323E-2</v>
      </c>
      <c r="D9">
        <f t="shared" si="1"/>
        <v>8.093207028119323E-2</v>
      </c>
      <c r="E9">
        <f t="shared" si="1"/>
        <v>8.093207028119323E-2</v>
      </c>
      <c r="F9">
        <f t="shared" si="1"/>
        <v>8.0932070281193202E-2</v>
      </c>
      <c r="G9">
        <f t="shared" si="1"/>
        <v>8.0932070281193202E-2</v>
      </c>
      <c r="H9">
        <f t="shared" si="1"/>
        <v>8.0932070281193202E-2</v>
      </c>
      <c r="I9">
        <f t="shared" si="1"/>
        <v>8.0932070281193202E-2</v>
      </c>
      <c r="J9">
        <f t="shared" si="1"/>
        <v>8.0932070281193202E-2</v>
      </c>
      <c r="K9">
        <f t="shared" si="1"/>
        <v>8.0932070281193202E-2</v>
      </c>
      <c r="L9">
        <f t="shared" si="1"/>
        <v>8.0932070281193202E-2</v>
      </c>
      <c r="M9">
        <f t="shared" si="1"/>
        <v>8.0932070281193202E-2</v>
      </c>
    </row>
    <row r="10" spans="1:14">
      <c r="A10" t="s">
        <v>67</v>
      </c>
      <c r="B10">
        <f t="shared" ref="B10:N10" si="2">(100-B5*100/(0.5*B4))</f>
        <v>100</v>
      </c>
      <c r="C10">
        <f t="shared" si="2"/>
        <v>91.666666666666657</v>
      </c>
      <c r="D10">
        <f t="shared" si="2"/>
        <v>83.333333333333329</v>
      </c>
      <c r="E10">
        <f t="shared" si="2"/>
        <v>75</v>
      </c>
      <c r="F10">
        <f t="shared" si="2"/>
        <v>66.666666666666657</v>
      </c>
      <c r="G10">
        <f t="shared" si="2"/>
        <v>58.333333333333329</v>
      </c>
      <c r="H10">
        <f t="shared" si="2"/>
        <v>49.999999999999993</v>
      </c>
      <c r="I10">
        <f t="shared" si="2"/>
        <v>41.666666666666664</v>
      </c>
      <c r="J10">
        <f t="shared" si="2"/>
        <v>33.333333333333329</v>
      </c>
      <c r="K10">
        <f t="shared" si="2"/>
        <v>25</v>
      </c>
      <c r="L10">
        <f t="shared" si="2"/>
        <v>16.666666666666657</v>
      </c>
      <c r="M10">
        <f t="shared" si="2"/>
        <v>8.3333333333333428</v>
      </c>
      <c r="N10">
        <f t="shared" si="2"/>
        <v>0</v>
      </c>
    </row>
  </sheetData>
  <pageMargins left="0.7" right="0.7" top="0.75" bottom="0.75" header="0.3" footer="0.3"/>
  <pageSetup paperSize="9" orientation="portrait" horizontalDpi="300" verticalDpi="300"/>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4"/>
  <sheetViews>
    <sheetView workbookViewId="0">
      <selection activeCell="B24" sqref="B24"/>
    </sheetView>
  </sheetViews>
  <sheetFormatPr baseColWidth="10" defaultColWidth="8.83203125" defaultRowHeight="14" x14ac:dyDescent="0"/>
  <sheetData>
    <row r="1" spans="1:22" ht="15" thickBot="1">
      <c r="A1" t="s">
        <v>4</v>
      </c>
      <c r="D1" t="s">
        <v>0</v>
      </c>
      <c r="E1" t="s">
        <v>1</v>
      </c>
      <c r="F1" t="s">
        <v>2</v>
      </c>
      <c r="G1" t="s">
        <v>5</v>
      </c>
      <c r="J1" t="s">
        <v>10</v>
      </c>
      <c r="K1" t="s">
        <v>9</v>
      </c>
      <c r="N1" s="6" t="s">
        <v>6</v>
      </c>
      <c r="O1" s="6" t="s">
        <v>7</v>
      </c>
      <c r="P1" s="6" t="s">
        <v>8</v>
      </c>
    </row>
    <row r="2" spans="1:22">
      <c r="A2">
        <f>'Airfoil Interpolation'!B4</f>
        <v>1</v>
      </c>
      <c r="B2" s="7">
        <f>'Airfoil Interpolation'!C4</f>
        <v>1.3999999999999999E-4</v>
      </c>
      <c r="D2" s="4">
        <f>'Loft Viewer'!B5</f>
        <v>0</v>
      </c>
      <c r="E2" s="4">
        <f ca="1">'Loft Viewer'!B6</f>
        <v>0.78825650673663228</v>
      </c>
      <c r="F2" s="4">
        <f>'Loft Viewer'!B7</f>
        <v>0</v>
      </c>
      <c r="G2" s="4">
        <f ca="1">-'Loft Viewer'!B8</f>
        <v>-6.5953225985272219</v>
      </c>
      <c r="J2" s="3">
        <f>'Loft Viewer'!B2</f>
        <v>0</v>
      </c>
      <c r="K2" s="1">
        <f ca="1">((A2)*COS(3.14*G2/180)-B2*SIN(3.14*G2/180))</f>
        <v>0.99340491787627294</v>
      </c>
      <c r="L2" s="1">
        <f ca="1">((A2)*SIN(3.14*G2/180)+B2*COS(3.14*G2/180))/COS(3.14*G2/180)</f>
        <v>-0.1154220838746006</v>
      </c>
      <c r="N2" s="27">
        <f ca="1">K2*E2*1000/COS(G2*3.14/180)+F2*1000</f>
        <v>788.26925969566878</v>
      </c>
      <c r="O2" s="28">
        <f ca="1">L2*E2*1000/COS(G2*3.14/180)-J2*E2*L2*1000/COS(3.14*G2/180)</f>
        <v>-91.587709071211464</v>
      </c>
      <c r="P2" s="29">
        <f>D2*1000</f>
        <v>0</v>
      </c>
      <c r="V2" s="5"/>
    </row>
    <row r="3" spans="1:22">
      <c r="A3">
        <f>'Airfoil Interpolation'!B5</f>
        <v>0.95121999999999995</v>
      </c>
      <c r="B3" s="7">
        <f>'Airfoil Interpolation'!C5</f>
        <v>5.6100000000000004E-3</v>
      </c>
      <c r="D3">
        <f>D2</f>
        <v>0</v>
      </c>
      <c r="E3">
        <f ca="1">E2</f>
        <v>0.78825650673663228</v>
      </c>
      <c r="F3">
        <f>F2</f>
        <v>0</v>
      </c>
      <c r="G3">
        <f ca="1">G2</f>
        <v>-6.5953225985272219</v>
      </c>
      <c r="J3">
        <f>J2</f>
        <v>0</v>
      </c>
      <c r="K3" s="1">
        <f t="shared" ref="K3:K31" ca="1" si="0">((A3)*COS(3.14*G3/180)-B3*SIN(3.14*G3/180))</f>
        <v>0.94557535548716698</v>
      </c>
      <c r="L3" s="1">
        <f t="shared" ref="L3:L31" ca="1" si="1">((A3)*SIN(3.14*G3/180)+B3*COS(3.14*G3/180))/COS(3.14*G3/180)</f>
        <v>-0.10431496542319758</v>
      </c>
      <c r="N3" s="30">
        <f t="shared" ref="N3:N31" ca="1" si="2">K3*E3*1000/COS(G3*3.14/180)+F3*1000</f>
        <v>750.31638362512365</v>
      </c>
      <c r="O3" s="23">
        <f ca="1">L3*E3*1000/COS(G3*3.14/180)-J3*E3*L2*1000/COS(3.14*G2/180)</f>
        <v>-82.774183104622637</v>
      </c>
      <c r="P3" s="24">
        <f t="shared" ref="P3:P31" si="3">D3*1000</f>
        <v>0</v>
      </c>
    </row>
    <row r="4" spans="1:22">
      <c r="A4">
        <f>'Airfoil Interpolation'!B6</f>
        <v>0.86626999999999998</v>
      </c>
      <c r="B4" s="7">
        <f>'Airfoil Interpolation'!C6</f>
        <v>1.6240000000000001E-2</v>
      </c>
      <c r="D4">
        <f t="shared" ref="D4:D31" si="4">D3</f>
        <v>0</v>
      </c>
      <c r="E4">
        <f t="shared" ref="E4:E31" ca="1" si="5">E3</f>
        <v>0.78825650673663228</v>
      </c>
      <c r="F4">
        <f t="shared" ref="F4:F31" si="6">F3</f>
        <v>0</v>
      </c>
      <c r="G4">
        <f t="shared" ref="G4:G31" ca="1" si="7">G3</f>
        <v>-6.5953225985272219</v>
      </c>
      <c r="J4">
        <f t="shared" ref="J4:J31" si="8">J3</f>
        <v>0</v>
      </c>
      <c r="K4" s="1">
        <f t="shared" ca="1" si="0"/>
        <v>0.86240727665243633</v>
      </c>
      <c r="L4" s="1">
        <f t="shared" ca="1" si="1"/>
        <v>-8.3867966398050262E-2</v>
      </c>
      <c r="N4" s="30">
        <f t="shared" ca="1" si="2"/>
        <v>684.32230733897279</v>
      </c>
      <c r="O4" s="23">
        <f ca="1">L4*E4*1000/COS(G4*3.14/180)-J4*E4*L2*1000/COS(3.14*G2/180)</f>
        <v>-66.549438798939264</v>
      </c>
      <c r="P4" s="24">
        <f t="shared" si="3"/>
        <v>0</v>
      </c>
    </row>
    <row r="5" spans="1:22">
      <c r="A5">
        <f>'Airfoil Interpolation'!B7</f>
        <v>0.78124000000000005</v>
      </c>
      <c r="B5" s="7">
        <f>'Airfoil Interpolation'!C7</f>
        <v>2.8649999999999998E-2</v>
      </c>
      <c r="D5">
        <f t="shared" si="4"/>
        <v>0</v>
      </c>
      <c r="E5">
        <f t="shared" ca="1" si="5"/>
        <v>0.78825650673663228</v>
      </c>
      <c r="F5">
        <f t="shared" si="6"/>
        <v>0</v>
      </c>
      <c r="G5">
        <f t="shared" ca="1" si="7"/>
        <v>-6.5953225985272219</v>
      </c>
      <c r="J5">
        <f t="shared" si="8"/>
        <v>0</v>
      </c>
      <c r="K5" s="1">
        <f t="shared" ca="1" si="0"/>
        <v>0.7793640673015958</v>
      </c>
      <c r="L5" s="1">
        <f t="shared" ca="1" si="1"/>
        <v>-6.1631722406192975E-2</v>
      </c>
      <c r="N5" s="30">
        <f t="shared" ca="1" si="2"/>
        <v>618.42731529717526</v>
      </c>
      <c r="O5" s="23">
        <f ca="1">L5*E5*1000/COS(G5*3.14/180)-J5*E5*L2*1000/COS(3.14*G2/180)</f>
        <v>-48.904924186161068</v>
      </c>
      <c r="P5" s="24">
        <f t="shared" si="3"/>
        <v>0</v>
      </c>
    </row>
    <row r="6" spans="1:22">
      <c r="A6">
        <f>'Airfoil Interpolation'!B8</f>
        <v>0.69625999999999999</v>
      </c>
      <c r="B6" s="7">
        <f>'Airfoil Interpolation'!C8</f>
        <v>4.2659999999999997E-2</v>
      </c>
      <c r="D6">
        <f t="shared" si="4"/>
        <v>0</v>
      </c>
      <c r="E6">
        <f t="shared" ca="1" si="5"/>
        <v>0.78825650673663228</v>
      </c>
      <c r="F6">
        <f t="shared" si="6"/>
        <v>0</v>
      </c>
      <c r="G6">
        <f t="shared" ca="1" si="7"/>
        <v>-6.5953225985272219</v>
      </c>
      <c r="J6">
        <f t="shared" si="8"/>
        <v>0</v>
      </c>
      <c r="K6" s="1">
        <f t="shared" ca="1" si="0"/>
        <v>0.69655420432931558</v>
      </c>
      <c r="L6" s="1">
        <f t="shared" ca="1" si="1"/>
        <v>-3.7801256518529426E-2</v>
      </c>
      <c r="N6" s="30">
        <f t="shared" ca="1" si="2"/>
        <v>552.7174841839884</v>
      </c>
      <c r="O6" s="23">
        <f ca="1">L6*E6*1000/COS(G6*3.14/180)-J6*E6*L2*1000/COS(3.14*G2/180)</f>
        <v>-29.995390555473882</v>
      </c>
      <c r="P6" s="24">
        <f t="shared" si="3"/>
        <v>0</v>
      </c>
    </row>
    <row r="7" spans="1:22">
      <c r="A7">
        <f>'Airfoil Interpolation'!B9</f>
        <v>0.61146</v>
      </c>
      <c r="B7" s="7">
        <f>'Airfoil Interpolation'!C9</f>
        <v>5.8369999999999998E-2</v>
      </c>
      <c r="D7">
        <f t="shared" si="4"/>
        <v>0</v>
      </c>
      <c r="E7">
        <f t="shared" ca="1" si="5"/>
        <v>0.78825650673663228</v>
      </c>
      <c r="F7">
        <f t="shared" si="6"/>
        <v>0</v>
      </c>
      <c r="G7">
        <f t="shared" ca="1" si="7"/>
        <v>-6.5953225985272219</v>
      </c>
      <c r="J7">
        <f t="shared" si="8"/>
        <v>0</v>
      </c>
      <c r="K7" s="1">
        <f t="shared" ca="1" si="0"/>
        <v>0.61411830809411039</v>
      </c>
      <c r="L7" s="1">
        <f t="shared" ca="1" si="1"/>
        <v>-1.2291591805963294E-2</v>
      </c>
      <c r="N7" s="30">
        <f t="shared" ca="1" si="2"/>
        <v>487.30439660174278</v>
      </c>
      <c r="O7" s="23">
        <f ca="1">L7*E7*1000/COS(G7*3.14/180)-J7*E7*L2*1000/COS(3.14*G2/180)</f>
        <v>-9.7534085034344411</v>
      </c>
      <c r="P7" s="24">
        <f t="shared" si="3"/>
        <v>0</v>
      </c>
    </row>
    <row r="8" spans="1:22">
      <c r="A8">
        <f>'Airfoil Interpolation'!B10</f>
        <v>0.52680000000000005</v>
      </c>
      <c r="B8" s="7">
        <f>'Airfoil Interpolation'!C10</f>
        <v>7.4260000000000007E-2</v>
      </c>
      <c r="D8">
        <f t="shared" si="4"/>
        <v>0</v>
      </c>
      <c r="E8">
        <f t="shared" ca="1" si="5"/>
        <v>0.78825650673663228</v>
      </c>
      <c r="F8">
        <f t="shared" si="6"/>
        <v>0</v>
      </c>
      <c r="G8">
        <f t="shared" ca="1" si="7"/>
        <v>-6.5953225985272219</v>
      </c>
      <c r="J8">
        <f t="shared" si="8"/>
        <v>0</v>
      </c>
      <c r="K8" s="1">
        <f t="shared" ca="1" si="0"/>
        <v>0.53184214995269397</v>
      </c>
      <c r="L8" s="1">
        <f t="shared" ca="1" si="1"/>
        <v>1.3381894214860409E-2</v>
      </c>
      <c r="N8" s="30">
        <f t="shared" ca="1" si="2"/>
        <v>422.01806159205864</v>
      </c>
      <c r="O8" s="23">
        <f ca="1">L8*E8*1000/COS(G8*3.14/180)-J8*E8*L2*1000/COS(3.14*G2/180)</f>
        <v>10.618566161948044</v>
      </c>
      <c r="P8" s="24">
        <f t="shared" si="3"/>
        <v>0</v>
      </c>
    </row>
    <row r="9" spans="1:22">
      <c r="A9">
        <f>'Airfoil Interpolation'!B11</f>
        <v>0.44248999999999999</v>
      </c>
      <c r="B9" s="7">
        <f>'Airfoil Interpolation'!C11</f>
        <v>8.7239999999999998E-2</v>
      </c>
      <c r="D9">
        <f t="shared" si="4"/>
        <v>0</v>
      </c>
      <c r="E9">
        <f t="shared" ca="1" si="5"/>
        <v>0.78825650673663228</v>
      </c>
      <c r="F9">
        <f t="shared" si="6"/>
        <v>0</v>
      </c>
      <c r="G9">
        <f t="shared" ca="1" si="7"/>
        <v>-6.5953225985272219</v>
      </c>
      <c r="J9">
        <f t="shared" si="8"/>
        <v>0</v>
      </c>
      <c r="K9" s="1">
        <f t="shared" ca="1" si="0"/>
        <v>0.44957961547961744</v>
      </c>
      <c r="L9" s="1">
        <f t="shared" ca="1" si="1"/>
        <v>3.6104933506327978E-2</v>
      </c>
      <c r="N9" s="30">
        <f t="shared" ca="1" si="2"/>
        <v>356.7425369969028</v>
      </c>
      <c r="O9" s="23">
        <f ca="1">L9*E9*1000/COS(G9*3.14/180)-J9*E9*L2*1000/COS(3.14*G2/180)</f>
        <v>28.649354049140314</v>
      </c>
      <c r="P9" s="24">
        <f t="shared" si="3"/>
        <v>0</v>
      </c>
    </row>
    <row r="10" spans="1:22">
      <c r="A10">
        <f>'Airfoil Interpolation'!B12</f>
        <v>0.35810999999999998</v>
      </c>
      <c r="B10" s="7">
        <f>'Airfoil Interpolation'!C12</f>
        <v>9.597E-2</v>
      </c>
      <c r="D10">
        <f t="shared" si="4"/>
        <v>0</v>
      </c>
      <c r="E10">
        <f t="shared" ca="1" si="5"/>
        <v>0.78825650673663228</v>
      </c>
      <c r="F10">
        <f t="shared" si="6"/>
        <v>0</v>
      </c>
      <c r="G10">
        <f t="shared" ca="1" si="7"/>
        <v>-6.5953225985272219</v>
      </c>
      <c r="J10">
        <f t="shared" si="8"/>
        <v>0</v>
      </c>
      <c r="K10" s="1">
        <f t="shared" ca="1" si="0"/>
        <v>0.3667596519253884</v>
      </c>
      <c r="L10" s="1">
        <f t="shared" ca="1" si="1"/>
        <v>5.4586062143666784E-2</v>
      </c>
      <c r="N10" s="30">
        <f t="shared" ca="1" si="2"/>
        <v>291.02469104695399</v>
      </c>
      <c r="O10" s="23">
        <f ca="1">L10*E10*1000/COS(G10*3.14/180)-J10*E10*L2*1000/COS(3.14*G2/180)</f>
        <v>43.314175339173353</v>
      </c>
      <c r="P10" s="24">
        <f t="shared" si="3"/>
        <v>0</v>
      </c>
    </row>
    <row r="11" spans="1:22">
      <c r="A11">
        <f>'Airfoil Interpolation'!B13</f>
        <v>0.27444000000000002</v>
      </c>
      <c r="B11" s="7">
        <f>'Airfoil Interpolation'!C13</f>
        <v>9.7790000000000002E-2</v>
      </c>
      <c r="D11">
        <f t="shared" si="4"/>
        <v>0</v>
      </c>
      <c r="E11">
        <f t="shared" ca="1" si="5"/>
        <v>0.78825650673663228</v>
      </c>
      <c r="F11">
        <f t="shared" si="6"/>
        <v>0</v>
      </c>
      <c r="G11">
        <f t="shared" ca="1" si="7"/>
        <v>-6.5953225985272219</v>
      </c>
      <c r="J11">
        <f t="shared" si="8"/>
        <v>0</v>
      </c>
      <c r="K11" s="1">
        <f t="shared" ca="1" si="0"/>
        <v>0.28385173968347854</v>
      </c>
      <c r="L11" s="1">
        <f t="shared" ca="1" si="1"/>
        <v>6.6075141701454607E-2</v>
      </c>
      <c r="N11" s="30">
        <f t="shared" ca="1" si="2"/>
        <v>225.23705759577408</v>
      </c>
      <c r="O11" s="23">
        <f ca="1">L11*E11*1000/COS(G11*3.14/180)-J11*E11*L2*1000/COS(3.14*G2/180)</f>
        <v>52.430788388526118</v>
      </c>
      <c r="P11" s="24">
        <f t="shared" si="3"/>
        <v>0</v>
      </c>
    </row>
    <row r="12" spans="1:22">
      <c r="A12">
        <f>'Airfoil Interpolation'!B14</f>
        <v>0.19114999999999999</v>
      </c>
      <c r="B12" s="7">
        <f>'Airfoil Interpolation'!C14</f>
        <v>9.2439999999999994E-2</v>
      </c>
      <c r="D12">
        <f t="shared" si="4"/>
        <v>0</v>
      </c>
      <c r="E12">
        <f t="shared" ca="1" si="5"/>
        <v>0.78825650673663228</v>
      </c>
      <c r="F12">
        <f t="shared" si="6"/>
        <v>0</v>
      </c>
      <c r="G12">
        <f t="shared" ca="1" si="7"/>
        <v>-6.5953225985272219</v>
      </c>
      <c r="J12">
        <f t="shared" si="8"/>
        <v>0</v>
      </c>
      <c r="K12" s="1">
        <f t="shared" ca="1" si="0"/>
        <v>0.20049821293251904</v>
      </c>
      <c r="L12" s="1">
        <f t="shared" ca="1" si="1"/>
        <v>7.0350307667370091E-2</v>
      </c>
      <c r="N12" s="30">
        <f t="shared" ca="1" si="2"/>
        <v>159.09582792935782</v>
      </c>
      <c r="O12" s="23">
        <f ca="1">L12*E12*1000/COS(G12*3.14/180)-J12*E12*L2*1000/COS(3.14*G2/180)</f>
        <v>55.823143157850957</v>
      </c>
      <c r="P12" s="24">
        <f t="shared" si="3"/>
        <v>0</v>
      </c>
    </row>
    <row r="13" spans="1:22">
      <c r="A13">
        <f>'Airfoil Interpolation'!B15</f>
        <v>0.11174000000000001</v>
      </c>
      <c r="B13" s="7">
        <f>'Airfoil Interpolation'!C15</f>
        <v>7.5749999999999998E-2</v>
      </c>
      <c r="D13">
        <f t="shared" si="4"/>
        <v>0</v>
      </c>
      <c r="E13">
        <f t="shared" ca="1" si="5"/>
        <v>0.78825650673663228</v>
      </c>
      <c r="F13">
        <f t="shared" si="6"/>
        <v>0</v>
      </c>
      <c r="G13">
        <f t="shared" ca="1" si="7"/>
        <v>-6.5953225985272219</v>
      </c>
      <c r="J13">
        <f t="shared" si="8"/>
        <v>0</v>
      </c>
      <c r="K13" s="1">
        <f t="shared" ca="1" si="0"/>
        <v>0.11969722461890539</v>
      </c>
      <c r="L13" s="1">
        <f t="shared" ca="1" si="1"/>
        <v>6.2837092747852125E-2</v>
      </c>
      <c r="N13" s="30">
        <f t="shared" ca="1" si="2"/>
        <v>94.980043827125826</v>
      </c>
      <c r="O13" s="23">
        <f ca="1">L13*E13*1000/COS(G13*3.14/180)-J13*E13*L2*1000/COS(3.14*G2/180)</f>
        <v>49.861388533962021</v>
      </c>
      <c r="P13" s="24">
        <f t="shared" si="3"/>
        <v>0</v>
      </c>
    </row>
    <row r="14" spans="1:22">
      <c r="A14">
        <f>'Airfoil Interpolation'!B16</f>
        <v>4.2939999999999999E-2</v>
      </c>
      <c r="B14" s="7">
        <f>'Airfoil Interpolation'!C16</f>
        <v>4.8120000000000003E-2</v>
      </c>
      <c r="D14">
        <f t="shared" si="4"/>
        <v>0</v>
      </c>
      <c r="E14">
        <f t="shared" ca="1" si="5"/>
        <v>0.78825650673663228</v>
      </c>
      <c r="F14">
        <f t="shared" si="6"/>
        <v>0</v>
      </c>
      <c r="G14">
        <f t="shared" ca="1" si="7"/>
        <v>-6.5953225985272219</v>
      </c>
      <c r="J14">
        <f t="shared" si="8"/>
        <v>0</v>
      </c>
      <c r="K14" s="1">
        <f t="shared" ca="1" si="0"/>
        <v>4.8180200911252268E-2</v>
      </c>
      <c r="L14" s="1">
        <f t="shared" ca="1" si="1"/>
        <v>4.3157764118424653E-2</v>
      </c>
      <c r="N14" s="30">
        <f t="shared" ca="1" si="2"/>
        <v>38.231108605234063</v>
      </c>
      <c r="O14" s="23">
        <f ca="1">L14*E14*1000/COS(G14*3.14/180)-J14*E14*L2*1000/COS(3.14*G2/180)</f>
        <v>34.245792586249337</v>
      </c>
      <c r="P14" s="24">
        <f t="shared" si="3"/>
        <v>0</v>
      </c>
    </row>
    <row r="15" spans="1:22">
      <c r="A15">
        <f>'Airfoil Interpolation'!B17</f>
        <v>1.106E-2</v>
      </c>
      <c r="B15" s="7">
        <f>'Airfoil Interpolation'!C17</f>
        <v>2.2919999999999999E-2</v>
      </c>
      <c r="D15">
        <f t="shared" si="4"/>
        <v>0</v>
      </c>
      <c r="E15">
        <f t="shared" ca="1" si="5"/>
        <v>0.78825650673663228</v>
      </c>
      <c r="F15">
        <f t="shared" si="6"/>
        <v>0</v>
      </c>
      <c r="G15">
        <f t="shared" ca="1" si="7"/>
        <v>-6.5953225985272219</v>
      </c>
      <c r="J15">
        <f t="shared" si="8"/>
        <v>0</v>
      </c>
      <c r="K15" s="1">
        <f t="shared" ca="1" si="0"/>
        <v>1.3618052750183064E-2</v>
      </c>
      <c r="L15" s="1">
        <f t="shared" ca="1" si="1"/>
        <v>2.1641883352346913E-2</v>
      </c>
      <c r="N15" s="30">
        <f t="shared" ca="1" si="2"/>
        <v>10.805958543906019</v>
      </c>
      <c r="O15" s="23">
        <f ca="1">L15*E15*1000/COS(G15*3.14/180)-J15*E15*L2*1000/COS(3.14*G2/180)</f>
        <v>17.172887975071681</v>
      </c>
      <c r="P15" s="24">
        <f t="shared" si="3"/>
        <v>0</v>
      </c>
    </row>
    <row r="16" spans="1:22">
      <c r="A16">
        <f>'Airfoil Interpolation'!B18</f>
        <v>1.2999999999999999E-3</v>
      </c>
      <c r="B16" s="7">
        <f>'Airfoil Interpolation'!C18</f>
        <v>8.5199999999999998E-3</v>
      </c>
      <c r="D16">
        <f t="shared" si="4"/>
        <v>0</v>
      </c>
      <c r="E16">
        <f t="shared" ca="1" si="5"/>
        <v>0.78825650673663228</v>
      </c>
      <c r="F16">
        <f t="shared" si="6"/>
        <v>0</v>
      </c>
      <c r="G16">
        <f t="shared" ca="1" si="7"/>
        <v>-6.5953225985272219</v>
      </c>
      <c r="J16">
        <f t="shared" si="8"/>
        <v>0</v>
      </c>
      <c r="K16" s="1">
        <f t="shared" ca="1" si="0"/>
        <v>2.2694851855357429E-3</v>
      </c>
      <c r="L16" s="1">
        <f t="shared" ca="1" si="1"/>
        <v>8.3697692909630184E-3</v>
      </c>
      <c r="N16" s="30">
        <f t="shared" ca="1" si="2"/>
        <v>1.8008421086912323</v>
      </c>
      <c r="O16" s="23">
        <f ca="1">L16*E16*1000/COS(G16*3.14/180)-J16*E16*L2*1000/COS(3.14*G2/180)</f>
        <v>6.6414326364676661</v>
      </c>
      <c r="P16" s="24">
        <f t="shared" si="3"/>
        <v>0</v>
      </c>
    </row>
    <row r="17" spans="1:22">
      <c r="A17">
        <f>'Airfoil Interpolation'!B19</f>
        <v>3.2000000000000003E-4</v>
      </c>
      <c r="B17" s="7">
        <f>'Airfoil Interpolation'!C19</f>
        <v>-1.5399999999999999E-3</v>
      </c>
      <c r="D17">
        <f t="shared" si="4"/>
        <v>0</v>
      </c>
      <c r="E17">
        <f t="shared" ca="1" si="5"/>
        <v>0.78825650673663228</v>
      </c>
      <c r="F17">
        <f t="shared" si="6"/>
        <v>0</v>
      </c>
      <c r="G17">
        <f t="shared" ca="1" si="7"/>
        <v>-6.5953225985272219</v>
      </c>
      <c r="J17">
        <f t="shared" si="8"/>
        <v>0</v>
      </c>
      <c r="K17" s="1">
        <f t="shared" ca="1" si="0"/>
        <v>1.4109537962252394E-4</v>
      </c>
      <c r="L17" s="1">
        <f t="shared" ca="1" si="1"/>
        <v>-1.5769798668398721E-3</v>
      </c>
      <c r="N17" s="30">
        <f t="shared" ca="1" si="2"/>
        <v>0.11195953275457685</v>
      </c>
      <c r="O17" s="23">
        <f ca="1">L17*E17*1000/COS(G17*3.14/180)-J17*E17*L2*1000/COS(3.14*G2/180)</f>
        <v>-1.251337425273009</v>
      </c>
      <c r="P17" s="24">
        <f t="shared" si="3"/>
        <v>0</v>
      </c>
    </row>
    <row r="18" spans="1:22">
      <c r="A18">
        <f>'Airfoil Interpolation'!B20</f>
        <v>7.6600000000000001E-3</v>
      </c>
      <c r="B18" s="7">
        <f>'Airfoil Interpolation'!C20</f>
        <v>-1.282E-2</v>
      </c>
      <c r="D18">
        <f t="shared" si="4"/>
        <v>0</v>
      </c>
      <c r="E18">
        <f t="shared" ca="1" si="5"/>
        <v>0.78825650673663228</v>
      </c>
      <c r="F18">
        <f t="shared" si="6"/>
        <v>0</v>
      </c>
      <c r="G18">
        <f t="shared" ca="1" si="7"/>
        <v>-6.5953225985272219</v>
      </c>
      <c r="J18">
        <f t="shared" si="8"/>
        <v>0</v>
      </c>
      <c r="K18" s="1">
        <f t="shared" ca="1" si="0"/>
        <v>6.1376471097372666E-3</v>
      </c>
      <c r="L18" s="1">
        <f t="shared" ca="1" si="1"/>
        <v>-1.3705205562479441E-2</v>
      </c>
      <c r="N18" s="30">
        <f t="shared" ca="1" si="2"/>
        <v>4.8702381641203392</v>
      </c>
      <c r="O18" s="23">
        <f ca="1">L18*E18*1000/COS(G18*3.14/180)-J18*E18*L2*1000/COS(3.14*G2/180)</f>
        <v>-10.875114516050923</v>
      </c>
      <c r="P18" s="24">
        <f t="shared" si="3"/>
        <v>0</v>
      </c>
    </row>
    <row r="19" spans="1:22">
      <c r="A19">
        <f>'Airfoil Interpolation'!B21</f>
        <v>3.3230000000000003E-2</v>
      </c>
      <c r="B19" s="7">
        <f>'Airfoil Interpolation'!C21</f>
        <v>-2.5870000000000001E-2</v>
      </c>
      <c r="D19">
        <f t="shared" si="4"/>
        <v>0</v>
      </c>
      <c r="E19">
        <f t="shared" ca="1" si="5"/>
        <v>0.78825650673663228</v>
      </c>
      <c r="F19">
        <f t="shared" si="6"/>
        <v>0</v>
      </c>
      <c r="G19">
        <f t="shared" ca="1" si="7"/>
        <v>-6.5953225985272219</v>
      </c>
      <c r="J19">
        <f t="shared" si="8"/>
        <v>0</v>
      </c>
      <c r="K19" s="1">
        <f t="shared" ca="1" si="0"/>
        <v>3.0040484894333464E-2</v>
      </c>
      <c r="L19" s="1">
        <f t="shared" ca="1" si="1"/>
        <v>-2.9710128047152978E-2</v>
      </c>
      <c r="N19" s="30">
        <f t="shared" ca="1" si="2"/>
        <v>23.837199074048137</v>
      </c>
      <c r="O19" s="23">
        <f ca="1">L19*E19*1000/COS(G19*3.14/180)-J19*E19*L2*1000/COS(3.14*G2/180)</f>
        <v>-23.575060098614973</v>
      </c>
      <c r="P19" s="24">
        <f t="shared" si="3"/>
        <v>0</v>
      </c>
    </row>
    <row r="20" spans="1:22">
      <c r="A20">
        <f>'Airfoil Interpolation'!B22</f>
        <v>9.7040000000000001E-2</v>
      </c>
      <c r="B20" s="7">
        <f>'Airfoil Interpolation'!C22</f>
        <v>-4.2229999999999997E-2</v>
      </c>
      <c r="D20">
        <f t="shared" si="4"/>
        <v>0</v>
      </c>
      <c r="E20">
        <f t="shared" ca="1" si="5"/>
        <v>0.78825650673663228</v>
      </c>
      <c r="F20">
        <f t="shared" si="6"/>
        <v>0</v>
      </c>
      <c r="G20">
        <f t="shared" ca="1" si="7"/>
        <v>-6.5953225985272219</v>
      </c>
      <c r="J20">
        <f t="shared" si="8"/>
        <v>0</v>
      </c>
      <c r="K20" s="1">
        <f t="shared" ca="1" si="0"/>
        <v>9.1550530493615903E-2</v>
      </c>
      <c r="L20" s="1">
        <f t="shared" ca="1" si="1"/>
        <v>-5.3444144619191246E-2</v>
      </c>
      <c r="N20" s="30">
        <f t="shared" ca="1" si="2"/>
        <v>72.645572412936843</v>
      </c>
      <c r="O20" s="23">
        <f ca="1">L20*E20*1000/COS(G20*3.14/180)-J20*E20*L2*1000/COS(3.14*G2/180)</f>
        <v>-42.408060958769248</v>
      </c>
      <c r="P20" s="24">
        <f t="shared" si="3"/>
        <v>0</v>
      </c>
    </row>
    <row r="21" spans="1:22">
      <c r="A21">
        <f>'Airfoil Interpolation'!B23</f>
        <v>0.17948</v>
      </c>
      <c r="B21" s="7">
        <f>'Airfoil Interpolation'!C23</f>
        <v>-4.947E-2</v>
      </c>
      <c r="D21">
        <f t="shared" si="4"/>
        <v>0</v>
      </c>
      <c r="E21">
        <f t="shared" ca="1" si="5"/>
        <v>0.78825650673663228</v>
      </c>
      <c r="F21">
        <f t="shared" si="6"/>
        <v>0</v>
      </c>
      <c r="G21">
        <f t="shared" ca="1" si="7"/>
        <v>-6.5953225985272219</v>
      </c>
      <c r="J21">
        <f t="shared" si="8"/>
        <v>0</v>
      </c>
      <c r="K21" s="1">
        <f t="shared" ca="1" si="0"/>
        <v>0.17261436883321063</v>
      </c>
      <c r="L21" s="1">
        <f t="shared" ca="1" si="1"/>
        <v>-7.0211082813813316E-2</v>
      </c>
      <c r="N21" s="30">
        <f t="shared" ca="1" si="2"/>
        <v>136.96992866099032</v>
      </c>
      <c r="O21" s="23">
        <f ca="1">L21*E21*1000/COS(G21*3.14/180)-J21*E21*L2*1000/COS(3.14*G2/180)</f>
        <v>-55.712667892156624</v>
      </c>
      <c r="P21" s="24">
        <f t="shared" si="3"/>
        <v>0</v>
      </c>
    </row>
    <row r="22" spans="1:22">
      <c r="A22">
        <f>'Airfoil Interpolation'!B24</f>
        <v>0.26478000000000002</v>
      </c>
      <c r="B22" s="7">
        <f>'Airfoil Interpolation'!C24</f>
        <v>-5.1580000000000001E-2</v>
      </c>
      <c r="D22">
        <f t="shared" si="4"/>
        <v>0</v>
      </c>
      <c r="E22">
        <f t="shared" ca="1" si="5"/>
        <v>0.78825650673663228</v>
      </c>
      <c r="F22">
        <f t="shared" si="6"/>
        <v>0</v>
      </c>
      <c r="G22">
        <f t="shared" ca="1" si="7"/>
        <v>-6.5953225985272219</v>
      </c>
      <c r="J22">
        <f t="shared" si="8"/>
        <v>0</v>
      </c>
      <c r="K22" s="1">
        <f t="shared" ca="1" si="0"/>
        <v>0.25710821344963986</v>
      </c>
      <c r="L22" s="1">
        <f t="shared" ca="1" si="1"/>
        <v>-8.2178528568316755E-2</v>
      </c>
      <c r="N22" s="30">
        <f t="shared" ca="1" si="2"/>
        <v>204.01600337443256</v>
      </c>
      <c r="O22" s="23">
        <f ca="1">L22*E22*1000/COS(G22*3.14/180)-J22*E22*L2*1000/COS(3.14*G2/180)</f>
        <v>-65.208865701925717</v>
      </c>
      <c r="P22" s="24">
        <f t="shared" si="3"/>
        <v>0</v>
      </c>
    </row>
    <row r="23" spans="1:22">
      <c r="A23">
        <f>'Airfoil Interpolation'!B25</f>
        <v>0.35043999999999997</v>
      </c>
      <c r="B23" s="7">
        <f>'Airfoil Interpolation'!C25</f>
        <v>-5.135E-2</v>
      </c>
      <c r="D23">
        <f t="shared" si="4"/>
        <v>0</v>
      </c>
      <c r="E23">
        <f t="shared" ca="1" si="5"/>
        <v>0.78825650673663228</v>
      </c>
      <c r="F23">
        <f t="shared" si="6"/>
        <v>0</v>
      </c>
      <c r="G23">
        <f t="shared" ca="1" si="7"/>
        <v>-6.5953225985272219</v>
      </c>
      <c r="J23">
        <f t="shared" si="8"/>
        <v>0</v>
      </c>
      <c r="K23" s="1">
        <f t="shared" ca="1" si="0"/>
        <v>0.34222830556995132</v>
      </c>
      <c r="L23" s="1">
        <f t="shared" ca="1" si="1"/>
        <v>-9.1847576673015019E-2</v>
      </c>
      <c r="N23" s="30">
        <f t="shared" ca="1" si="2"/>
        <v>271.55900703133813</v>
      </c>
      <c r="O23" s="23">
        <f ca="1">L23*E23*1000/COS(G23*3.14/180)-J23*E23*L2*1000/COS(3.14*G2/180)</f>
        <v>-72.881279291085718</v>
      </c>
      <c r="P23" s="24">
        <f t="shared" si="3"/>
        <v>0</v>
      </c>
    </row>
    <row r="24" spans="1:22">
      <c r="A24">
        <f>'Airfoil Interpolation'!B26</f>
        <v>0.43622</v>
      </c>
      <c r="B24" s="7">
        <f>'Airfoil Interpolation'!C26</f>
        <v>-4.8860000000000001E-2</v>
      </c>
      <c r="D24">
        <f t="shared" si="4"/>
        <v>0</v>
      </c>
      <c r="E24">
        <f t="shared" ca="1" si="5"/>
        <v>0.78825650673663228</v>
      </c>
      <c r="F24">
        <f t="shared" si="6"/>
        <v>0</v>
      </c>
      <c r="G24">
        <f t="shared" ca="1" si="7"/>
        <v>-6.5953225985272219</v>
      </c>
      <c r="J24">
        <f t="shared" si="8"/>
        <v>0</v>
      </c>
      <c r="K24" s="1">
        <f t="shared" ca="1" si="0"/>
        <v>0.42772704802425776</v>
      </c>
      <c r="L24" s="1">
        <f t="shared" ca="1" si="1"/>
        <v>-9.927049222777827E-2</v>
      </c>
      <c r="N24" s="30">
        <f t="shared" ca="1" si="2"/>
        <v>339.40247066492651</v>
      </c>
      <c r="O24" s="23">
        <f ca="1">L24*E24*1000/COS(G24*3.14/180)-J24*E24*L2*1000/COS(3.14*G2/180)</f>
        <v>-78.771381145670517</v>
      </c>
      <c r="P24" s="24">
        <f t="shared" si="3"/>
        <v>0</v>
      </c>
    </row>
    <row r="25" spans="1:22">
      <c r="A25">
        <f>'Airfoil Interpolation'!B27</f>
        <v>0.52234000000000003</v>
      </c>
      <c r="B25" s="7">
        <f>'Airfoil Interpolation'!C27</f>
        <v>-4.4549999999999999E-2</v>
      </c>
      <c r="D25">
        <f t="shared" si="4"/>
        <v>0</v>
      </c>
      <c r="E25">
        <f t="shared" ca="1" si="5"/>
        <v>0.78825650673663228</v>
      </c>
      <c r="F25">
        <f t="shared" si="6"/>
        <v>0</v>
      </c>
      <c r="G25">
        <f t="shared" ca="1" si="7"/>
        <v>-6.5953225985272219</v>
      </c>
      <c r="J25">
        <f t="shared" si="8"/>
        <v>0</v>
      </c>
      <c r="K25" s="1">
        <f t="shared" ca="1" si="0"/>
        <v>0.51377247520124114</v>
      </c>
      <c r="L25" s="1">
        <f t="shared" ca="1" si="1"/>
        <v>-0.10491269889105888</v>
      </c>
      <c r="N25" s="30">
        <f t="shared" ca="1" si="2"/>
        <v>407.67972997827928</v>
      </c>
      <c r="O25" s="23">
        <f ca="1">L25*E25*1000/COS(G25*3.14/180)-J25*E25*L2*1000/COS(3.14*G2/180)</f>
        <v>-83.248486089968878</v>
      </c>
      <c r="P25" s="24">
        <f t="shared" si="3"/>
        <v>0</v>
      </c>
    </row>
    <row r="26" spans="1:22">
      <c r="A26">
        <f>'Airfoil Interpolation'!B28</f>
        <v>0.60845000000000005</v>
      </c>
      <c r="B26" s="7">
        <f>'Airfoil Interpolation'!C28</f>
        <v>-3.884E-2</v>
      </c>
      <c r="D26">
        <f t="shared" si="4"/>
        <v>0</v>
      </c>
      <c r="E26">
        <f t="shared" ca="1" si="5"/>
        <v>0.78825650673663228</v>
      </c>
      <c r="F26">
        <f t="shared" si="6"/>
        <v>0</v>
      </c>
      <c r="G26">
        <f t="shared" ca="1" si="7"/>
        <v>-6.5953225985272219</v>
      </c>
      <c r="J26">
        <f t="shared" si="8"/>
        <v>0</v>
      </c>
      <c r="K26" s="1">
        <f t="shared" ca="1" si="0"/>
        <v>0.59996868580898466</v>
      </c>
      <c r="L26" s="1">
        <f t="shared" ca="1" si="1"/>
        <v>-0.10915374993350074</v>
      </c>
      <c r="N26" s="30">
        <f t="shared" ca="1" si="2"/>
        <v>476.07663631692952</v>
      </c>
      <c r="O26" s="23">
        <f ca="1">L26*E26*1000/COS(G26*3.14/180)-J26*E26*L2*1000/COS(3.14*G2/180)</f>
        <v>-86.613770583128172</v>
      </c>
      <c r="P26" s="24">
        <f t="shared" si="3"/>
        <v>0</v>
      </c>
    </row>
    <row r="27" spans="1:22">
      <c r="A27">
        <f>'Airfoil Interpolation'!B29</f>
        <v>0.69442000000000004</v>
      </c>
      <c r="B27" s="7">
        <f>'Airfoil Interpolation'!C29</f>
        <v>-3.1780000000000003E-2</v>
      </c>
      <c r="D27">
        <f t="shared" si="4"/>
        <v>0</v>
      </c>
      <c r="E27">
        <f t="shared" ca="1" si="5"/>
        <v>0.78825650673663228</v>
      </c>
      <c r="F27">
        <f t="shared" si="6"/>
        <v>0</v>
      </c>
      <c r="G27">
        <f t="shared" ca="1" si="7"/>
        <v>-6.5953225985272219</v>
      </c>
      <c r="J27">
        <f t="shared" si="8"/>
        <v>0</v>
      </c>
      <c r="K27" s="1">
        <f t="shared" ca="1" si="0"/>
        <v>0.68618079939323162</v>
      </c>
      <c r="L27" s="1">
        <f t="shared" ca="1" si="1"/>
        <v>-0.11202862228420014</v>
      </c>
      <c r="N27" s="30">
        <f t="shared" ca="1" si="2"/>
        <v>544.48616170677394</v>
      </c>
      <c r="O27" s="23">
        <f ca="1">L27*E27*1000/COS(G27*3.14/180)-J27*E27*L2*1000/COS(3.14*G2/180)</f>
        <v>-88.894988904907819</v>
      </c>
      <c r="P27" s="24">
        <f t="shared" si="3"/>
        <v>0</v>
      </c>
    </row>
    <row r="28" spans="1:22">
      <c r="A28">
        <f>'Airfoil Interpolation'!B30</f>
        <v>0.78025</v>
      </c>
      <c r="B28" s="7">
        <f>'Airfoil Interpolation'!C30</f>
        <v>-2.383E-2</v>
      </c>
      <c r="D28">
        <f t="shared" si="4"/>
        <v>0</v>
      </c>
      <c r="E28">
        <f t="shared" ca="1" si="5"/>
        <v>0.78825650673663228</v>
      </c>
      <c r="F28">
        <f t="shared" si="6"/>
        <v>0</v>
      </c>
      <c r="G28">
        <f t="shared" ca="1" si="7"/>
        <v>-6.5953225985272219</v>
      </c>
      <c r="J28">
        <f t="shared" si="8"/>
        <v>0</v>
      </c>
      <c r="K28" s="1">
        <f t="shared" ca="1" si="0"/>
        <v>0.77235600883480915</v>
      </c>
      <c r="L28" s="1">
        <f t="shared" ca="1" si="1"/>
        <v>-0.11399731594315711</v>
      </c>
      <c r="N28" s="30">
        <f t="shared" ca="1" si="2"/>
        <v>612.86640356812143</v>
      </c>
      <c r="O28" s="23">
        <f ca="1">L28*E28*1000/COS(G28*3.14/180)-J28*E28*L2*1000/COS(3.14*G2/180)</f>
        <v>-90.45715219319834</v>
      </c>
      <c r="P28" s="24">
        <f t="shared" si="3"/>
        <v>0</v>
      </c>
    </row>
    <row r="29" spans="1:22">
      <c r="A29">
        <f>'Airfoil Interpolation'!B31</f>
        <v>0.86600999999999995</v>
      </c>
      <c r="B29" s="7">
        <f>'Airfoil Interpolation'!C31</f>
        <v>-1.478E-2</v>
      </c>
      <c r="D29">
        <f t="shared" si="4"/>
        <v>0</v>
      </c>
      <c r="E29">
        <f t="shared" ca="1" si="5"/>
        <v>0.78825650673663228</v>
      </c>
      <c r="F29">
        <f t="shared" si="6"/>
        <v>0</v>
      </c>
      <c r="G29">
        <f t="shared" ca="1" si="7"/>
        <v>-6.5953225985272219</v>
      </c>
      <c r="J29">
        <f t="shared" si="8"/>
        <v>0</v>
      </c>
      <c r="K29" s="1">
        <f t="shared" ca="1" si="0"/>
        <v>0.85858795895083051</v>
      </c>
      <c r="L29" s="1">
        <f t="shared" ca="1" si="1"/>
        <v>-0.11485792025624286</v>
      </c>
      <c r="N29" s="30">
        <f t="shared" ca="1" si="2"/>
        <v>681.29166929499809</v>
      </c>
      <c r="O29" s="23">
        <f ca="1">L29*E29*1000/COS(G29*3.14/180)-J29*E29*L2*1000/COS(3.14*G2/180)</f>
        <v>-91.140043844487195</v>
      </c>
      <c r="P29" s="24">
        <f t="shared" si="3"/>
        <v>0</v>
      </c>
    </row>
    <row r="30" spans="1:22">
      <c r="A30">
        <f>'Airfoil Interpolation'!B32</f>
        <v>0.95123000000000002</v>
      </c>
      <c r="B30" s="7">
        <f>'Airfoil Interpolation'!C32</f>
        <v>-5.2100000000000002E-3</v>
      </c>
      <c r="D30">
        <f t="shared" si="4"/>
        <v>0</v>
      </c>
      <c r="E30">
        <f t="shared" ca="1" si="5"/>
        <v>0.78825650673663228</v>
      </c>
      <c r="F30">
        <f t="shared" si="6"/>
        <v>0</v>
      </c>
      <c r="G30">
        <f t="shared" ca="1" si="7"/>
        <v>-6.5953225985272219</v>
      </c>
      <c r="J30">
        <f t="shared" si="8"/>
        <v>0</v>
      </c>
      <c r="K30" s="1">
        <f t="shared" ca="1" si="0"/>
        <v>0.94434317409421642</v>
      </c>
      <c r="L30" s="1">
        <f t="shared" ca="1" si="1"/>
        <v>-0.11513612104403632</v>
      </c>
      <c r="N30" s="30">
        <f t="shared" ca="1" si="2"/>
        <v>749.33864464180101</v>
      </c>
      <c r="O30" s="23">
        <f ca="1">L30*E30*1000/COS(G30*3.14/180)-J30*E30*L2*1000/COS(3.14*G2/180)</f>
        <v>-91.360796857779619</v>
      </c>
      <c r="P30" s="24">
        <f t="shared" si="3"/>
        <v>0</v>
      </c>
    </row>
    <row r="31" spans="1:22" ht="15" thickBot="1">
      <c r="A31">
        <f>'Airfoil Interpolation'!B33</f>
        <v>1</v>
      </c>
      <c r="B31" s="7">
        <f>'Airfoil Interpolation'!C33</f>
        <v>1.3999999999999999E-4</v>
      </c>
      <c r="D31">
        <f t="shared" si="4"/>
        <v>0</v>
      </c>
      <c r="E31">
        <f t="shared" ca="1" si="5"/>
        <v>0.78825650673663228</v>
      </c>
      <c r="F31">
        <f t="shared" si="6"/>
        <v>0</v>
      </c>
      <c r="G31">
        <f t="shared" ca="1" si="7"/>
        <v>-6.5953225985272219</v>
      </c>
      <c r="J31">
        <f t="shared" si="8"/>
        <v>0</v>
      </c>
      <c r="K31" s="1">
        <f t="shared" ca="1" si="0"/>
        <v>0.99340491787627294</v>
      </c>
      <c r="L31" s="1">
        <f t="shared" ca="1" si="1"/>
        <v>-0.1154220838746006</v>
      </c>
      <c r="N31" s="31">
        <f t="shared" ca="1" si="2"/>
        <v>788.26925969566878</v>
      </c>
      <c r="O31" s="32">
        <f ca="1">L31*E31*1000/COS(G31*3.14/180)-J31*E31*L2*1000/COS(3.14*G2/180)</f>
        <v>-91.587709071211464</v>
      </c>
      <c r="P31" s="33">
        <f t="shared" si="3"/>
        <v>0</v>
      </c>
      <c r="V31" s="5"/>
    </row>
    <row r="34" spans="2:2">
      <c r="B34" s="2"/>
    </row>
  </sheetData>
  <pageMargins left="0.7" right="0.7" top="0.75" bottom="0.75" header="0.3" footer="0.3"/>
  <pageSetup paperSize="9" orientation="portrait" horizontalDpi="300" verticalDpi="300"/>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zoomScale="90" zoomScaleNormal="90" zoomScalePageLayoutView="90" workbookViewId="0">
      <selection activeCell="A10" sqref="A10"/>
    </sheetView>
  </sheetViews>
  <sheetFormatPr baseColWidth="10" defaultColWidth="8.83203125" defaultRowHeight="14" x14ac:dyDescent="0"/>
  <sheetData>
    <row r="1" spans="1:16" ht="15" thickBot="1">
      <c r="A1">
        <v>2</v>
      </c>
      <c r="D1" t="s">
        <v>0</v>
      </c>
      <c r="E1" t="s">
        <v>1</v>
      </c>
      <c r="F1" t="s">
        <v>2</v>
      </c>
      <c r="G1" t="s">
        <v>5</v>
      </c>
      <c r="J1" t="s">
        <v>10</v>
      </c>
      <c r="K1" t="s">
        <v>9</v>
      </c>
      <c r="N1" s="6" t="s">
        <v>6</v>
      </c>
      <c r="O1" s="6" t="s">
        <v>7</v>
      </c>
      <c r="P1" s="6" t="s">
        <v>8</v>
      </c>
    </row>
    <row r="2" spans="1:16">
      <c r="A2">
        <f>'Airfoil Interpolation'!I4</f>
        <v>1</v>
      </c>
      <c r="B2">
        <f>'Airfoil Interpolation'!J4</f>
        <v>2.1583333333333339E-4</v>
      </c>
      <c r="D2" s="4">
        <f>'Loft Viewer'!C5</f>
        <v>8.093207028119323E-2</v>
      </c>
      <c r="E2" s="4">
        <f ca="1">'Loft Viewer'!C6</f>
        <v>0.65165325711649091</v>
      </c>
      <c r="F2" s="4">
        <f>'Loft Viewer'!C7</f>
        <v>5.0540113541005682E-2</v>
      </c>
      <c r="G2" s="4">
        <f ca="1">-'Loft Viewer'!C8</f>
        <v>-7.4454245054530679</v>
      </c>
      <c r="J2">
        <f>'Loft Viewer'!B2</f>
        <v>0</v>
      </c>
      <c r="K2" s="1">
        <f ca="1">((A2)*COS(3.14*G2/180)-B2*SIN(3.14*G2/180))</f>
        <v>0.9916052290240932</v>
      </c>
      <c r="L2" s="1">
        <f ca="1">((A2)*SIN(3.14*G2/180)+B2*COS(3.14*G2/180))/COS(3.14*G2/180)</f>
        <v>-0.13040075174531343</v>
      </c>
      <c r="N2" s="27">
        <f ca="1">K2*E2*1000/COS(G2*3.14/180)+F2*1000</f>
        <v>706.8287412003765</v>
      </c>
      <c r="O2" s="28">
        <f ca="1">L2*E2*1000/COS(G2*3.14/180)-J2*E2*L2*1000/COS(3.14*G2/180)</f>
        <v>-85.697884312807943</v>
      </c>
      <c r="P2" s="29">
        <f>D2*1000</f>
        <v>80.932070281193234</v>
      </c>
    </row>
    <row r="3" spans="1:16">
      <c r="A3">
        <f>'Airfoil Interpolation'!I5</f>
        <v>0.95180416666666667</v>
      </c>
      <c r="B3">
        <f>'Airfoil Interpolation'!J5</f>
        <v>5.626666666666667E-3</v>
      </c>
      <c r="D3">
        <f>D2</f>
        <v>8.093207028119323E-2</v>
      </c>
      <c r="E3">
        <f ca="1">E2</f>
        <v>0.65165325711649091</v>
      </c>
      <c r="F3">
        <f>F2</f>
        <v>5.0540113541005682E-2</v>
      </c>
      <c r="G3">
        <f ca="1">G2</f>
        <v>-7.4454245054530679</v>
      </c>
      <c r="J3">
        <f>J2</f>
        <v>0</v>
      </c>
      <c r="K3" s="1">
        <f t="shared" ref="K3:K31" ca="1" si="0">((A3)*COS(3.14*G3/180)-B3*SIN(3.14*G3/180))</f>
        <v>0.94451612779548988</v>
      </c>
      <c r="L3" s="1">
        <f t="shared" ref="L3:L31" ca="1" si="1">((A3)*SIN(3.14*G3/180)+B3*COS(3.14*G3/180))/COS(3.14*G3/180)</f>
        <v>-0.1186947432469605</v>
      </c>
      <c r="N3" s="30">
        <f t="shared" ref="N3:N31" ca="1" si="2">K3*E3*1000/COS(G3*3.14/180)+F3*1000</f>
        <v>675.88232183183948</v>
      </c>
      <c r="O3" s="23">
        <f ca="1">L3*E3*1000/COS(G3*3.14/180)-J3*E3*L2*1000/COS(3.14*G2/180)</f>
        <v>-78.004829260365355</v>
      </c>
      <c r="P3" s="24">
        <f t="shared" ref="P3:P31" si="3">D3*1000</f>
        <v>80.932070281193234</v>
      </c>
    </row>
    <row r="4" spans="1:16">
      <c r="A4">
        <f>'Airfoil Interpolation'!I6</f>
        <v>0.86676249999999999</v>
      </c>
      <c r="B4">
        <f>'Airfoil Interpolation'!J6</f>
        <v>1.6128333333333335E-2</v>
      </c>
      <c r="D4">
        <f t="shared" ref="D4:G19" si="4">D3</f>
        <v>8.093207028119323E-2</v>
      </c>
      <c r="E4">
        <f t="shared" ca="1" si="4"/>
        <v>0.65165325711649091</v>
      </c>
      <c r="F4">
        <f t="shared" si="4"/>
        <v>5.0540113541005682E-2</v>
      </c>
      <c r="G4">
        <f t="shared" ca="1" si="4"/>
        <v>-7.4454245054530679</v>
      </c>
      <c r="J4">
        <f t="shared" ref="J4:J31" si="5">J3</f>
        <v>0</v>
      </c>
      <c r="K4" s="1">
        <f t="shared" ca="1" si="0"/>
        <v>0.86155088215020725</v>
      </c>
      <c r="L4" s="1">
        <f t="shared" ca="1" si="1"/>
        <v>-9.7085224490897237E-2</v>
      </c>
      <c r="N4" s="30">
        <f t="shared" ca="1" si="2"/>
        <v>621.35851021164569</v>
      </c>
      <c r="O4" s="23">
        <f ca="1">L4*E4*1000/COS(G4*3.14/180)-J4*E4*L2*1000/COS(3.14*G2/180)</f>
        <v>-63.803300406992626</v>
      </c>
      <c r="P4" s="24">
        <f t="shared" si="3"/>
        <v>80.932070281193234</v>
      </c>
    </row>
    <row r="5" spans="1:16">
      <c r="A5">
        <f>'Airfoil Interpolation'!I7</f>
        <v>0.78148666666666666</v>
      </c>
      <c r="B5">
        <f>'Airfoil Interpolation'!J7</f>
        <v>2.8204166666666666E-2</v>
      </c>
      <c r="D5">
        <f t="shared" si="4"/>
        <v>8.093207028119323E-2</v>
      </c>
      <c r="E5">
        <f t="shared" ca="1" si="4"/>
        <v>0.65165325711649091</v>
      </c>
      <c r="F5">
        <f t="shared" si="4"/>
        <v>5.0540113541005682E-2</v>
      </c>
      <c r="G5">
        <f t="shared" ca="1" si="4"/>
        <v>-7.4454245054530679</v>
      </c>
      <c r="J5">
        <f t="shared" si="5"/>
        <v>0</v>
      </c>
      <c r="K5" s="1">
        <f t="shared" ca="1" si="0"/>
        <v>0.77855732261839494</v>
      </c>
      <c r="L5" s="1">
        <f t="shared" ca="1" si="1"/>
        <v>-7.3870953017828075E-2</v>
      </c>
      <c r="N5" s="30">
        <f t="shared" ca="1" si="2"/>
        <v>566.81609102869038</v>
      </c>
      <c r="O5" s="23">
        <f ca="1">L5*E5*1000/COS(G5*3.14/180)-J5*E5*L2*1000/COS(3.14*G2/180)</f>
        <v>-48.547146401141987</v>
      </c>
      <c r="P5" s="24">
        <f t="shared" si="3"/>
        <v>80.932070281193234</v>
      </c>
    </row>
    <row r="6" spans="1:16">
      <c r="A6">
        <f>'Airfoil Interpolation'!I8</f>
        <v>0.6962491666666667</v>
      </c>
      <c r="B6">
        <f>'Airfoil Interpolation'!J8</f>
        <v>4.1675833333333329E-2</v>
      </c>
      <c r="D6">
        <f t="shared" si="4"/>
        <v>8.093207028119323E-2</v>
      </c>
      <c r="E6">
        <f t="shared" ca="1" si="4"/>
        <v>0.65165325711649091</v>
      </c>
      <c r="F6">
        <f t="shared" si="4"/>
        <v>5.0540113541005682E-2</v>
      </c>
      <c r="G6">
        <f t="shared" ca="1" si="4"/>
        <v>-7.4454245054530679</v>
      </c>
      <c r="J6">
        <f t="shared" si="5"/>
        <v>0</v>
      </c>
      <c r="K6" s="1">
        <f t="shared" ca="1" si="0"/>
        <v>0.69578255690948421</v>
      </c>
      <c r="L6" s="1">
        <f t="shared" ca="1" si="1"/>
        <v>-4.9265855180520263E-2</v>
      </c>
      <c r="N6" s="30">
        <f t="shared" ca="1" si="2"/>
        <v>512.4174606465848</v>
      </c>
      <c r="O6" s="23">
        <f ca="1">L6*E6*1000/COS(G6*3.14/180)-J6*E6*L2*1000/COS(3.14*G2/180)</f>
        <v>-32.376957197898307</v>
      </c>
      <c r="P6" s="24">
        <f t="shared" si="3"/>
        <v>80.932070281193234</v>
      </c>
    </row>
    <row r="7" spans="1:16">
      <c r="A7">
        <f>'Airfoil Interpolation'!I9</f>
        <v>0.61117916666666672</v>
      </c>
      <c r="B7">
        <f>'Airfoil Interpolation'!J9</f>
        <v>5.6628333333333329E-2</v>
      </c>
      <c r="D7">
        <f t="shared" si="4"/>
        <v>8.093207028119323E-2</v>
      </c>
      <c r="E7">
        <f t="shared" ca="1" si="4"/>
        <v>0.65165325711649091</v>
      </c>
      <c r="F7">
        <f t="shared" si="4"/>
        <v>5.0540113541005682E-2</v>
      </c>
      <c r="G7">
        <f t="shared" ca="1" si="4"/>
        <v>-7.4454245054530679</v>
      </c>
      <c r="J7">
        <f t="shared" si="5"/>
        <v>0</v>
      </c>
      <c r="K7" s="1">
        <f t="shared" ca="1" si="0"/>
        <v>0.61336567265202513</v>
      </c>
      <c r="L7" s="1">
        <f t="shared" ca="1" si="1"/>
        <v>-2.320180228787979E-2</v>
      </c>
      <c r="N7" s="30">
        <f t="shared" ca="1" si="2"/>
        <v>458.25402586583664</v>
      </c>
      <c r="O7" s="23">
        <f ca="1">L7*E7*1000/COS(G7*3.14/180)-J7*E7*L2*1000/COS(3.14*G2/180)</f>
        <v>-15.247959399795606</v>
      </c>
      <c r="P7" s="24">
        <f t="shared" si="3"/>
        <v>80.932070281193234</v>
      </c>
    </row>
    <row r="8" spans="1:16">
      <c r="A8">
        <f>'Airfoil Interpolation'!I10</f>
        <v>0.52624916666666666</v>
      </c>
      <c r="B8">
        <f>'Airfoil Interpolation'!J10</f>
        <v>7.1656666666666674E-2</v>
      </c>
      <c r="D8">
        <f t="shared" si="4"/>
        <v>8.093207028119323E-2</v>
      </c>
      <c r="E8">
        <f t="shared" ca="1" si="4"/>
        <v>0.65165325711649091</v>
      </c>
      <c r="F8">
        <f t="shared" si="4"/>
        <v>5.0540113541005682E-2</v>
      </c>
      <c r="G8">
        <f t="shared" ca="1" si="4"/>
        <v>-7.4454245054530679</v>
      </c>
      <c r="J8">
        <f t="shared" si="5"/>
        <v>0</v>
      </c>
      <c r="K8" s="1">
        <f t="shared" ca="1" si="0"/>
        <v>0.53109743087625216</v>
      </c>
      <c r="L8" s="1">
        <f t="shared" ca="1" si="1"/>
        <v>2.9197976161830356E-3</v>
      </c>
      <c r="N8" s="30">
        <f t="shared" ca="1" si="2"/>
        <v>404.18827722591982</v>
      </c>
      <c r="O8" s="23">
        <f ca="1">L8*E8*1000/COS(G8*3.14/180)-J8*E8*L2*1000/COS(3.14*G2/180)</f>
        <v>1.9188576367809098</v>
      </c>
      <c r="P8" s="24">
        <f t="shared" si="3"/>
        <v>80.932070281193234</v>
      </c>
    </row>
    <row r="9" spans="1:16">
      <c r="A9">
        <f>'Airfoil Interpolation'!I11</f>
        <v>0.44166250000000001</v>
      </c>
      <c r="B9">
        <f>'Airfoil Interpolation'!J11</f>
        <v>8.3904999999999993E-2</v>
      </c>
      <c r="D9">
        <f t="shared" si="4"/>
        <v>8.093207028119323E-2</v>
      </c>
      <c r="E9">
        <f t="shared" ca="1" si="4"/>
        <v>0.65165325711649091</v>
      </c>
      <c r="F9">
        <f t="shared" si="4"/>
        <v>5.0540113541005682E-2</v>
      </c>
      <c r="G9">
        <f t="shared" ca="1" si="4"/>
        <v>-7.4454245054530679</v>
      </c>
      <c r="J9">
        <f t="shared" si="5"/>
        <v>0</v>
      </c>
      <c r="K9" s="1">
        <f t="shared" ca="1" si="0"/>
        <v>0.44880957493530566</v>
      </c>
      <c r="L9" s="1">
        <f t="shared" ca="1" si="1"/>
        <v>2.6216552492702164E-2</v>
      </c>
      <c r="N9" s="30">
        <f t="shared" ca="1" si="2"/>
        <v>350.10963838072865</v>
      </c>
      <c r="O9" s="23">
        <f ca="1">L9*E9*1000/COS(G9*3.14/180)-J9*E9*L2*1000/COS(3.14*G2/180)</f>
        <v>17.22921879306568</v>
      </c>
      <c r="P9" s="24">
        <f t="shared" si="3"/>
        <v>80.932070281193234</v>
      </c>
    </row>
    <row r="10" spans="1:16">
      <c r="A10">
        <f>'Airfoil Interpolation'!I12</f>
        <v>0.35705083333333332</v>
      </c>
      <c r="B10">
        <f>'Airfoil Interpolation'!J12</f>
        <v>9.2109999999999997E-2</v>
      </c>
      <c r="D10">
        <f t="shared" si="4"/>
        <v>8.093207028119323E-2</v>
      </c>
      <c r="E10">
        <f t="shared" ca="1" si="4"/>
        <v>0.65165325711649091</v>
      </c>
      <c r="F10">
        <f t="shared" si="4"/>
        <v>5.0540113541005682E-2</v>
      </c>
      <c r="G10">
        <f t="shared" ca="1" si="4"/>
        <v>-7.4454245054530679</v>
      </c>
      <c r="J10">
        <f t="shared" si="5"/>
        <v>0</v>
      </c>
      <c r="K10" s="1">
        <f t="shared" ca="1" si="0"/>
        <v>0.36597325143348425</v>
      </c>
      <c r="L10" s="1">
        <f t="shared" ca="1" si="1"/>
        <v>4.5473239450514943E-2</v>
      </c>
      <c r="N10" s="30">
        <f t="shared" ca="1" si="2"/>
        <v>295.67055292037543</v>
      </c>
      <c r="O10" s="23">
        <f ca="1">L10*E10*1000/COS(G10*3.14/180)-J10*E10*L2*1000/COS(3.14*G2/180)</f>
        <v>29.884493468028644</v>
      </c>
      <c r="P10" s="24">
        <f t="shared" si="3"/>
        <v>80.932070281193234</v>
      </c>
    </row>
    <row r="11" spans="1:16">
      <c r="A11">
        <f>'Airfoil Interpolation'!I13</f>
        <v>0.27315666666666666</v>
      </c>
      <c r="B11">
        <f>'Airfoil Interpolation'!J13</f>
        <v>9.3780833333333327E-2</v>
      </c>
      <c r="D11">
        <f t="shared" si="4"/>
        <v>8.093207028119323E-2</v>
      </c>
      <c r="E11">
        <f t="shared" ca="1" si="4"/>
        <v>0.65165325711649091</v>
      </c>
      <c r="F11">
        <f t="shared" si="4"/>
        <v>5.0540113541005682E-2</v>
      </c>
      <c r="G11">
        <f t="shared" ca="1" si="4"/>
        <v>-7.4454245054530679</v>
      </c>
      <c r="J11">
        <f t="shared" si="5"/>
        <v>0</v>
      </c>
      <c r="K11" s="1">
        <f t="shared" ca="1" si="0"/>
        <v>0.28300210263775571</v>
      </c>
      <c r="L11" s="1">
        <f t="shared" ca="1" si="1"/>
        <v>5.8102042341867097E-2</v>
      </c>
      <c r="N11" s="30">
        <f t="shared" ca="1" si="2"/>
        <v>241.14286181714783</v>
      </c>
      <c r="O11" s="23">
        <f ca="1">L11*E11*1000/COS(G11*3.14/180)-J11*E11*L2*1000/COS(3.14*G2/180)</f>
        <v>38.183998453292261</v>
      </c>
      <c r="P11" s="24">
        <f t="shared" si="3"/>
        <v>80.932070281193234</v>
      </c>
    </row>
    <row r="12" spans="1:16">
      <c r="A12">
        <f>'Airfoil Interpolation'!I14</f>
        <v>0.18974166666666664</v>
      </c>
      <c r="B12">
        <f>'Airfoil Interpolation'!J14</f>
        <v>8.8599999999999984E-2</v>
      </c>
      <c r="D12">
        <f t="shared" si="4"/>
        <v>8.093207028119323E-2</v>
      </c>
      <c r="E12">
        <f t="shared" ca="1" si="4"/>
        <v>0.65165325711649091</v>
      </c>
      <c r="F12">
        <f t="shared" si="4"/>
        <v>5.0540113541005682E-2</v>
      </c>
      <c r="G12">
        <f t="shared" ca="1" si="4"/>
        <v>-7.4454245054530679</v>
      </c>
      <c r="J12">
        <f t="shared" si="5"/>
        <v>0</v>
      </c>
      <c r="K12" s="1">
        <f t="shared" ca="1" si="0"/>
        <v>0.19961868116198803</v>
      </c>
      <c r="L12" s="1">
        <f t="shared" ca="1" si="1"/>
        <v>6.3816591452869095E-2</v>
      </c>
      <c r="N12" s="30">
        <f t="shared" ca="1" si="2"/>
        <v>186.34422981851543</v>
      </c>
      <c r="O12" s="23">
        <f ca="1">L12*E12*1000/COS(G12*3.14/180)-J12*E12*L2*1000/COS(3.14*G2/180)</f>
        <v>41.939534844455039</v>
      </c>
      <c r="P12" s="24">
        <f t="shared" si="3"/>
        <v>80.932070281193234</v>
      </c>
    </row>
    <row r="13" spans="1:16">
      <c r="A13">
        <f>'Airfoil Interpolation'!I15</f>
        <v>0.11025333333333334</v>
      </c>
      <c r="B13">
        <f>'Airfoil Interpolation'!J15</f>
        <v>7.2615833333333324E-2</v>
      </c>
      <c r="D13">
        <f t="shared" si="4"/>
        <v>8.093207028119323E-2</v>
      </c>
      <c r="E13">
        <f t="shared" ca="1" si="4"/>
        <v>0.65165325711649091</v>
      </c>
      <c r="F13">
        <f t="shared" si="4"/>
        <v>5.0540113541005682E-2</v>
      </c>
      <c r="G13">
        <f t="shared" ca="1" si="4"/>
        <v>-7.4454245054530679</v>
      </c>
      <c r="J13">
        <f t="shared" si="5"/>
        <v>0</v>
      </c>
      <c r="K13" s="1">
        <f t="shared" ca="1" si="0"/>
        <v>0.11872964387305628</v>
      </c>
      <c r="L13" s="1">
        <f t="shared" ca="1" si="1"/>
        <v>5.8214919439795579E-2</v>
      </c>
      <c r="N13" s="30">
        <f t="shared" ca="1" si="2"/>
        <v>133.18487861093766</v>
      </c>
      <c r="O13" s="23">
        <f ca="1">L13*E13*1000/COS(G13*3.14/180)-J13*E13*L2*1000/COS(3.14*G2/180)</f>
        <v>38.258179992511707</v>
      </c>
      <c r="P13" s="24">
        <f t="shared" si="3"/>
        <v>80.932070281193234</v>
      </c>
    </row>
    <row r="14" spans="1:16">
      <c r="A14">
        <f>'Airfoil Interpolation'!I16</f>
        <v>4.2327499999999997E-2</v>
      </c>
      <c r="B14">
        <f>'Airfoil Interpolation'!J16</f>
        <v>4.6239166666666665E-2</v>
      </c>
      <c r="D14">
        <f t="shared" si="4"/>
        <v>8.093207028119323E-2</v>
      </c>
      <c r="E14">
        <f t="shared" ca="1" si="4"/>
        <v>0.65165325711649091</v>
      </c>
      <c r="F14">
        <f t="shared" si="4"/>
        <v>5.0540113541005682E-2</v>
      </c>
      <c r="G14">
        <f t="shared" ca="1" si="4"/>
        <v>-7.4454245054530679</v>
      </c>
      <c r="J14">
        <f t="shared" si="5"/>
        <v>0</v>
      </c>
      <c r="K14" s="1">
        <f t="shared" ca="1" si="0"/>
        <v>4.795971925018034E-2</v>
      </c>
      <c r="L14" s="1">
        <f t="shared" ca="1" si="1"/>
        <v>4.0710493161750239E-2</v>
      </c>
      <c r="N14" s="30">
        <f t="shared" ca="1" si="2"/>
        <v>86.675692643953155</v>
      </c>
      <c r="O14" s="23">
        <f ca="1">L14*E14*1000/COS(G14*3.14/180)-J14*E14*L2*1000/COS(3.14*G2/180)</f>
        <v>26.754471017981825</v>
      </c>
      <c r="P14" s="24">
        <f t="shared" si="3"/>
        <v>80.932070281193234</v>
      </c>
    </row>
    <row r="15" spans="1:16">
      <c r="A15">
        <f>'Airfoil Interpolation'!I17</f>
        <v>1.1035833333333333E-2</v>
      </c>
      <c r="B15">
        <f>'Airfoil Interpolation'!J17</f>
        <v>2.2235833333333333E-2</v>
      </c>
      <c r="D15">
        <f t="shared" si="4"/>
        <v>8.093207028119323E-2</v>
      </c>
      <c r="E15">
        <f t="shared" ca="1" si="4"/>
        <v>0.65165325711649091</v>
      </c>
      <c r="F15">
        <f t="shared" si="4"/>
        <v>5.0540113541005682E-2</v>
      </c>
      <c r="G15">
        <f t="shared" ca="1" si="4"/>
        <v>-7.4454245054530679</v>
      </c>
      <c r="J15">
        <f t="shared" si="5"/>
        <v>0</v>
      </c>
      <c r="K15" s="1">
        <f t="shared" ca="1" si="0"/>
        <v>1.3822787463076122E-2</v>
      </c>
      <c r="L15" s="1">
        <f t="shared" ca="1" si="1"/>
        <v>2.0794370469836232E-2</v>
      </c>
      <c r="N15" s="30">
        <f t="shared" ca="1" si="2"/>
        <v>64.241291063207555</v>
      </c>
      <c r="O15" s="23">
        <f ca="1">L15*E15*1000/COS(G15*3.14/180)-J15*E15*L2*1000/COS(3.14*G2/180)</f>
        <v>13.665822712143537</v>
      </c>
      <c r="P15" s="24">
        <f t="shared" si="3"/>
        <v>80.932070281193234</v>
      </c>
    </row>
    <row r="16" spans="1:16">
      <c r="A16">
        <f>'Airfoil Interpolation'!I18</f>
        <v>1.2849999999999999E-3</v>
      </c>
      <c r="B16">
        <f>'Airfoil Interpolation'!J18</f>
        <v>8.2183333333333327E-3</v>
      </c>
      <c r="D16">
        <f t="shared" si="4"/>
        <v>8.093207028119323E-2</v>
      </c>
      <c r="E16">
        <f t="shared" ca="1" si="4"/>
        <v>0.65165325711649091</v>
      </c>
      <c r="F16">
        <f t="shared" si="4"/>
        <v>5.0540113541005682E-2</v>
      </c>
      <c r="G16">
        <f t="shared" ca="1" si="4"/>
        <v>-7.4454245054530679</v>
      </c>
      <c r="J16">
        <f t="shared" si="5"/>
        <v>0</v>
      </c>
      <c r="K16" s="1">
        <f t="shared" ca="1" si="0"/>
        <v>2.338586054053726E-3</v>
      </c>
      <c r="L16" s="1">
        <f t="shared" ca="1" si="1"/>
        <v>8.0504910215072698E-3</v>
      </c>
      <c r="N16" s="30">
        <f t="shared" ca="1" si="2"/>
        <v>56.694005095887519</v>
      </c>
      <c r="O16" s="23">
        <f ca="1">L16*E16*1000/COS(G16*3.14/180)-J16*E16*L2*1000/COS(3.14*G2/180)</f>
        <v>5.2906907283011453</v>
      </c>
      <c r="P16" s="24">
        <f t="shared" si="3"/>
        <v>80.932070281193234</v>
      </c>
    </row>
    <row r="17" spans="1:16">
      <c r="A17">
        <f>'Airfoil Interpolation'!I19</f>
        <v>3.8666666666666667E-4</v>
      </c>
      <c r="B17">
        <f>'Airfoil Interpolation'!J19</f>
        <v>-1.82E-3</v>
      </c>
      <c r="D17">
        <f t="shared" si="4"/>
        <v>8.093207028119323E-2</v>
      </c>
      <c r="E17">
        <f t="shared" ca="1" si="4"/>
        <v>0.65165325711649091</v>
      </c>
      <c r="F17">
        <f t="shared" si="4"/>
        <v>5.0540113541005682E-2</v>
      </c>
      <c r="G17">
        <f t="shared" ca="1" si="4"/>
        <v>-7.4454245054530679</v>
      </c>
      <c r="J17">
        <f t="shared" si="5"/>
        <v>0</v>
      </c>
      <c r="K17" s="1">
        <f t="shared" ca="1" si="0"/>
        <v>1.4768996342174904E-4</v>
      </c>
      <c r="L17" s="1">
        <f t="shared" ca="1" si="1"/>
        <v>-1.8705050795637436E-3</v>
      </c>
      <c r="N17" s="30">
        <f t="shared" ca="1" si="2"/>
        <v>55.254173214526375</v>
      </c>
      <c r="O17" s="23">
        <f ca="1">L17*E17*1000/COS(G17*3.14/180)-J17*E17*L2*1000/COS(3.14*G2/180)</f>
        <v>-1.2292745691225238</v>
      </c>
      <c r="P17" s="24">
        <f t="shared" si="3"/>
        <v>80.932070281193234</v>
      </c>
    </row>
    <row r="18" spans="1:16">
      <c r="A18">
        <f>'Airfoil Interpolation'!I20</f>
        <v>7.9191666666666681E-3</v>
      </c>
      <c r="B18">
        <f>'Airfoil Interpolation'!J20</f>
        <v>-1.2977499999999999E-2</v>
      </c>
      <c r="D18">
        <f t="shared" si="4"/>
        <v>8.093207028119323E-2</v>
      </c>
      <c r="E18">
        <f t="shared" ca="1" si="4"/>
        <v>0.65165325711649091</v>
      </c>
      <c r="F18">
        <f t="shared" si="4"/>
        <v>5.0540113541005682E-2</v>
      </c>
      <c r="G18">
        <f t="shared" ca="1" si="4"/>
        <v>-7.4454245054530679</v>
      </c>
      <c r="J18">
        <f t="shared" si="5"/>
        <v>0</v>
      </c>
      <c r="K18" s="1">
        <f t="shared" ca="1" si="0"/>
        <v>6.171666136292147E-3</v>
      </c>
      <c r="L18" s="1">
        <f t="shared" ca="1" si="1"/>
        <v>-1.401187450666865E-2</v>
      </c>
      <c r="N18" s="30">
        <f t="shared" ca="1" si="2"/>
        <v>59.213061535768837</v>
      </c>
      <c r="O18" s="23">
        <f ca="1">L18*E18*1000/COS(G18*3.14/180)-J18*E18*L2*1000/COS(3.14*G2/180)</f>
        <v>-9.2084438502573978</v>
      </c>
      <c r="P18" s="24">
        <f t="shared" si="3"/>
        <v>80.932070281193234</v>
      </c>
    </row>
    <row r="19" spans="1:16">
      <c r="A19">
        <f>'Airfoil Interpolation'!I21</f>
        <v>3.3426666666666667E-2</v>
      </c>
      <c r="B19">
        <f>'Airfoil Interpolation'!J21</f>
        <v>-2.5843333333333333E-2</v>
      </c>
      <c r="D19">
        <f t="shared" si="4"/>
        <v>8.093207028119323E-2</v>
      </c>
      <c r="E19">
        <f t="shared" ca="1" si="4"/>
        <v>0.65165325711649091</v>
      </c>
      <c r="F19">
        <f t="shared" si="4"/>
        <v>5.0540113541005682E-2</v>
      </c>
      <c r="G19">
        <f t="shared" ca="1" si="4"/>
        <v>-7.4454245054530679</v>
      </c>
      <c r="J19">
        <f t="shared" si="5"/>
        <v>0</v>
      </c>
      <c r="K19" s="1">
        <f t="shared" ca="1" si="0"/>
        <v>2.9797986580947282E-2</v>
      </c>
      <c r="L19" s="1">
        <f t="shared" ca="1" si="1"/>
        <v>-3.0209410383895564E-2</v>
      </c>
      <c r="N19" s="30">
        <f t="shared" ca="1" si="2"/>
        <v>74.740009418384503</v>
      </c>
      <c r="O19" s="23">
        <f ca="1">L19*E19*1000/COS(G19*3.14/180)-J19*E19*L2*1000/COS(3.14*G2/180)</f>
        <v>-19.853279383646385</v>
      </c>
      <c r="P19" s="24">
        <f t="shared" si="3"/>
        <v>80.932070281193234</v>
      </c>
    </row>
    <row r="20" spans="1:16">
      <c r="A20">
        <f>'Airfoil Interpolation'!I22</f>
        <v>9.6778333333333327E-2</v>
      </c>
      <c r="B20">
        <f>'Airfoil Interpolation'!J22</f>
        <v>-4.1889166666666665E-2</v>
      </c>
      <c r="D20">
        <f t="shared" ref="D20:G31" si="6">D19</f>
        <v>8.093207028119323E-2</v>
      </c>
      <c r="E20">
        <f t="shared" ca="1" si="6"/>
        <v>0.65165325711649091</v>
      </c>
      <c r="F20">
        <f t="shared" si="6"/>
        <v>5.0540113541005682E-2</v>
      </c>
      <c r="G20">
        <f t="shared" ca="1" si="6"/>
        <v>-7.4454245054530679</v>
      </c>
      <c r="J20">
        <f t="shared" si="5"/>
        <v>0</v>
      </c>
      <c r="K20" s="1">
        <f t="shared" ca="1" si="0"/>
        <v>9.0537860414558094E-2</v>
      </c>
      <c r="L20" s="1">
        <f t="shared" ca="1" si="1"/>
        <v>-5.4530022076269634E-2</v>
      </c>
      <c r="N20" s="30">
        <f t="shared" ca="1" si="2"/>
        <v>114.65756059273505</v>
      </c>
      <c r="O20" s="23">
        <f ca="1">L20*E20*1000/COS(G20*3.14/180)-J20*E20*L2*1000/COS(3.14*G2/180)</f>
        <v>-35.836507542487915</v>
      </c>
      <c r="P20" s="24">
        <f t="shared" si="3"/>
        <v>80.932070281193234</v>
      </c>
    </row>
    <row r="21" spans="1:16">
      <c r="A21">
        <f>'Airfoil Interpolation'!I23</f>
        <v>0.17904416666666667</v>
      </c>
      <c r="B21">
        <f>'Airfoil Interpolation'!J23</f>
        <v>-4.9210833333333336E-2</v>
      </c>
      <c r="D21">
        <f t="shared" si="6"/>
        <v>8.093207028119323E-2</v>
      </c>
      <c r="E21">
        <f t="shared" ca="1" si="6"/>
        <v>0.65165325711649091</v>
      </c>
      <c r="F21">
        <f t="shared" si="6"/>
        <v>5.0540113541005682E-2</v>
      </c>
      <c r="G21">
        <f t="shared" ca="1" si="6"/>
        <v>-7.4454245054530679</v>
      </c>
      <c r="J21">
        <f t="shared" si="5"/>
        <v>0</v>
      </c>
      <c r="K21" s="1">
        <f t="shared" ca="1" si="0"/>
        <v>0.17116251507843572</v>
      </c>
      <c r="L21" s="1">
        <f t="shared" ca="1" si="1"/>
        <v>-7.2596970961585419E-2</v>
      </c>
      <c r="N21" s="30">
        <f t="shared" ca="1" si="2"/>
        <v>167.64316255950743</v>
      </c>
      <c r="O21" s="23">
        <f ca="1">L21*E21*1000/COS(G21*3.14/180)-J21*E21*L2*1000/COS(3.14*G2/180)</f>
        <v>-47.709899948102269</v>
      </c>
      <c r="P21" s="24">
        <f t="shared" si="3"/>
        <v>80.932070281193234</v>
      </c>
    </row>
    <row r="22" spans="1:16">
      <c r="A22">
        <f>'Airfoil Interpolation'!I24</f>
        <v>0.26430166666666666</v>
      </c>
      <c r="B22">
        <f>'Airfoil Interpolation'!J24</f>
        <v>-5.1421666666666664E-2</v>
      </c>
      <c r="D22">
        <f t="shared" si="6"/>
        <v>8.093207028119323E-2</v>
      </c>
      <c r="E22">
        <f t="shared" ca="1" si="6"/>
        <v>0.65165325711649091</v>
      </c>
      <c r="F22">
        <f t="shared" si="6"/>
        <v>5.0540113541005682E-2</v>
      </c>
      <c r="G22">
        <f t="shared" ca="1" si="6"/>
        <v>-7.4454245054530679</v>
      </c>
      <c r="J22">
        <f t="shared" si="5"/>
        <v>0</v>
      </c>
      <c r="K22" s="1">
        <f t="shared" ca="1" si="0"/>
        <v>0.25541557534957354</v>
      </c>
      <c r="L22" s="1">
        <f t="shared" ca="1" si="1"/>
        <v>-8.5943847797261469E-2</v>
      </c>
      <c r="N22" s="30">
        <f t="shared" ca="1" si="2"/>
        <v>223.01331123946318</v>
      </c>
      <c r="O22" s="23">
        <f ca="1">L22*E22*1000/COS(G22*3.14/180)-J22*E22*L2*1000/COS(3.14*G2/180)</f>
        <v>-56.481314926100431</v>
      </c>
      <c r="P22" s="24">
        <f t="shared" si="3"/>
        <v>80.932070281193234</v>
      </c>
    </row>
    <row r="23" spans="1:16">
      <c r="A23">
        <f>'Airfoil Interpolation'!I25</f>
        <v>0.35002</v>
      </c>
      <c r="B23">
        <f>'Airfoil Interpolation'!J25</f>
        <v>-5.1208333333333335E-2</v>
      </c>
      <c r="D23">
        <f t="shared" si="6"/>
        <v>8.093207028119323E-2</v>
      </c>
      <c r="E23">
        <f t="shared" ca="1" si="6"/>
        <v>0.65165325711649091</v>
      </c>
      <c r="F23">
        <f t="shared" si="6"/>
        <v>5.0540113541005682E-2</v>
      </c>
      <c r="G23">
        <f t="shared" ca="1" si="6"/>
        <v>-7.4454245054530679</v>
      </c>
      <c r="J23">
        <f t="shared" si="5"/>
        <v>0</v>
      </c>
      <c r="K23" s="1">
        <f t="shared" ca="1" si="0"/>
        <v>0.34043955691223166</v>
      </c>
      <c r="L23" s="1">
        <f t="shared" ca="1" si="1"/>
        <v>-9.6926750442561285E-2</v>
      </c>
      <c r="N23" s="30">
        <f t="shared" ca="1" si="2"/>
        <v>278.89010058498832</v>
      </c>
      <c r="O23" s="23">
        <f ca="1">L23*E23*1000/COS(G23*3.14/180)-J23*E23*L2*1000/COS(3.14*G2/180)</f>
        <v>-63.699153072877543</v>
      </c>
      <c r="P23" s="24">
        <f t="shared" si="3"/>
        <v>80.932070281193234</v>
      </c>
    </row>
    <row r="24" spans="1:16">
      <c r="A24">
        <f>'Airfoil Interpolation'!I26</f>
        <v>0.435915</v>
      </c>
      <c r="B24">
        <f>'Airfoil Interpolation'!J26</f>
        <v>-4.8723333333333334E-2</v>
      </c>
      <c r="D24">
        <f t="shared" si="6"/>
        <v>8.093207028119323E-2</v>
      </c>
      <c r="E24">
        <f t="shared" ca="1" si="6"/>
        <v>0.65165325711649091</v>
      </c>
      <c r="F24">
        <f t="shared" si="6"/>
        <v>5.0540113541005682E-2</v>
      </c>
      <c r="G24">
        <f t="shared" ca="1" si="6"/>
        <v>-7.4454245054530679</v>
      </c>
      <c r="J24">
        <f t="shared" si="5"/>
        <v>0</v>
      </c>
      <c r="K24" s="1">
        <f t="shared" ca="1" si="0"/>
        <v>0.42593293530069354</v>
      </c>
      <c r="L24" s="1">
        <f t="shared" ca="1" si="1"/>
        <v>-0.10566106201789165</v>
      </c>
      <c r="N24" s="30">
        <f t="shared" ca="1" si="2"/>
        <v>335.07537216191264</v>
      </c>
      <c r="O24" s="23">
        <f ca="1">L24*E24*1000/COS(G24*3.14/180)-J24*E24*L2*1000/COS(3.14*G2/180)</f>
        <v>-69.439242856996302</v>
      </c>
      <c r="P24" s="24">
        <f t="shared" si="3"/>
        <v>80.932070281193234</v>
      </c>
    </row>
    <row r="25" spans="1:16">
      <c r="A25">
        <f>'Airfoil Interpolation'!I27</f>
        <v>0.52216083333333341</v>
      </c>
      <c r="B25">
        <f>'Airfoil Interpolation'!J27</f>
        <v>-4.4422499999999997E-2</v>
      </c>
      <c r="D25">
        <f t="shared" si="6"/>
        <v>8.093207028119323E-2</v>
      </c>
      <c r="E25">
        <f t="shared" ca="1" si="6"/>
        <v>0.65165325711649091</v>
      </c>
      <c r="F25">
        <f t="shared" si="6"/>
        <v>5.0540113541005682E-2</v>
      </c>
      <c r="G25">
        <f t="shared" ca="1" si="6"/>
        <v>-7.4454245054530679</v>
      </c>
      <c r="J25">
        <f t="shared" si="5"/>
        <v>0</v>
      </c>
      <c r="K25" s="1">
        <f t="shared" ca="1" si="0"/>
        <v>0.51200937231426735</v>
      </c>
      <c r="L25" s="1">
        <f t="shared" ca="1" si="1"/>
        <v>-0.11262536491182044</v>
      </c>
      <c r="N25" s="30">
        <f t="shared" ca="1" si="2"/>
        <v>391.64382320623764</v>
      </c>
      <c r="O25" s="23">
        <f ca="1">L25*E25*1000/COS(G25*3.14/180)-J25*E25*L2*1000/COS(3.14*G2/180)</f>
        <v>-74.016103156766121</v>
      </c>
      <c r="P25" s="24">
        <f t="shared" si="3"/>
        <v>80.932070281193234</v>
      </c>
    </row>
    <row r="26" spans="1:16">
      <c r="A26">
        <f>'Airfoil Interpolation'!I28</f>
        <v>0.60842000000000007</v>
      </c>
      <c r="B26">
        <f>'Airfoil Interpolation'!J28</f>
        <v>-3.8725833333333334E-2</v>
      </c>
      <c r="D26">
        <f t="shared" si="6"/>
        <v>8.093207028119323E-2</v>
      </c>
      <c r="E26">
        <f t="shared" ca="1" si="6"/>
        <v>0.65165325711649091</v>
      </c>
      <c r="F26">
        <f t="shared" si="6"/>
        <v>5.0540113541005682E-2</v>
      </c>
      <c r="G26">
        <f t="shared" ca="1" si="6"/>
        <v>-7.4454245054530679</v>
      </c>
      <c r="J26">
        <f t="shared" si="5"/>
        <v>0</v>
      </c>
      <c r="K26" s="1">
        <f t="shared" ca="1" si="0"/>
        <v>0.59827981371886596</v>
      </c>
      <c r="L26" s="1">
        <f t="shared" ca="1" si="1"/>
        <v>-0.11819557602688362</v>
      </c>
      <c r="N26" s="30">
        <f t="shared" ca="1" si="2"/>
        <v>448.33977171998453</v>
      </c>
      <c r="O26" s="23">
        <f ca="1">L26*E26*1000/COS(G26*3.14/180)-J26*E26*L2*1000/COS(3.14*G2/180)</f>
        <v>-77.676782265955055</v>
      </c>
      <c r="P26" s="24">
        <f t="shared" si="3"/>
        <v>80.932070281193234</v>
      </c>
    </row>
    <row r="27" spans="1:16">
      <c r="A27">
        <f>'Airfoil Interpolation'!I29</f>
        <v>0.69456250000000008</v>
      </c>
      <c r="B27">
        <f>'Airfoil Interpolation'!J29</f>
        <v>-3.1702500000000002E-2</v>
      </c>
      <c r="D27">
        <f t="shared" si="6"/>
        <v>8.093207028119323E-2</v>
      </c>
      <c r="E27">
        <f t="shared" ca="1" si="6"/>
        <v>0.65165325711649091</v>
      </c>
      <c r="F27">
        <f t="shared" si="6"/>
        <v>5.0540113541005682E-2</v>
      </c>
      <c r="G27">
        <f t="shared" ca="1" si="6"/>
        <v>-7.4454245054530679</v>
      </c>
      <c r="J27">
        <f t="shared" si="5"/>
        <v>0</v>
      </c>
      <c r="K27" s="1">
        <f t="shared" ca="1" si="0"/>
        <v>0.68460639624847086</v>
      </c>
      <c r="L27" s="1">
        <f t="shared" ca="1" si="1"/>
        <v>-0.12242388187368762</v>
      </c>
      <c r="N27" s="30">
        <f t="shared" ca="1" si="2"/>
        <v>505.07261553971369</v>
      </c>
      <c r="O27" s="23">
        <f ca="1">L27*E27*1000/COS(G27*3.14/180)-J27*E27*L2*1000/COS(3.14*G2/180)</f>
        <v>-80.455576563140539</v>
      </c>
      <c r="P27" s="24">
        <f t="shared" si="3"/>
        <v>80.932070281193234</v>
      </c>
    </row>
    <row r="28" spans="1:16">
      <c r="A28">
        <f>'Airfoil Interpolation'!I30</f>
        <v>0.78057916666666671</v>
      </c>
      <c r="B28">
        <f>'Airfoil Interpolation'!J30</f>
        <v>-2.3785833333333332E-2</v>
      </c>
      <c r="D28">
        <f t="shared" si="6"/>
        <v>8.093207028119323E-2</v>
      </c>
      <c r="E28">
        <f t="shared" ca="1" si="6"/>
        <v>0.65165325711649091</v>
      </c>
      <c r="F28">
        <f t="shared" si="6"/>
        <v>5.0540113541005682E-2</v>
      </c>
      <c r="G28">
        <f t="shared" ca="1" si="6"/>
        <v>-7.4454245054530679</v>
      </c>
      <c r="J28">
        <f t="shared" si="5"/>
        <v>0</v>
      </c>
      <c r="K28" s="1">
        <f t="shared" ca="1" si="0"/>
        <v>0.77092390665513943</v>
      </c>
      <c r="L28" s="1">
        <f t="shared" ca="1" si="1"/>
        <v>-0.1257424184668692</v>
      </c>
      <c r="N28" s="30">
        <f t="shared" ca="1" si="2"/>
        <v>561.79949726389157</v>
      </c>
      <c r="O28" s="23">
        <f ca="1">L28*E28*1000/COS(G28*3.14/180)-J28*E28*L2*1000/COS(3.14*G2/180)</f>
        <v>-82.636480900300668</v>
      </c>
      <c r="P28" s="24">
        <f t="shared" si="3"/>
        <v>80.932070281193234</v>
      </c>
    </row>
    <row r="29" spans="1:16">
      <c r="A29">
        <f>'Airfoil Interpolation'!I31</f>
        <v>0.86652416666666665</v>
      </c>
      <c r="B29">
        <f>'Airfoil Interpolation'!J31</f>
        <v>-1.4789999999999999E-2</v>
      </c>
      <c r="D29">
        <f t="shared" si="6"/>
        <v>8.093207028119323E-2</v>
      </c>
      <c r="E29">
        <f t="shared" ca="1" si="6"/>
        <v>0.65165325711649091</v>
      </c>
      <c r="F29">
        <f t="shared" si="6"/>
        <v>5.0540113541005682E-2</v>
      </c>
      <c r="G29">
        <f t="shared" ca="1" si="6"/>
        <v>-7.4454245054530679</v>
      </c>
      <c r="J29">
        <f t="shared" si="5"/>
        <v>0</v>
      </c>
      <c r="K29" s="1">
        <f t="shared" ca="1" si="0"/>
        <v>0.85731012384590821</v>
      </c>
      <c r="L29" s="1">
        <f t="shared" ca="1" si="1"/>
        <v>-0.12797242753812019</v>
      </c>
      <c r="N29" s="30">
        <f t="shared" ca="1" si="2"/>
        <v>618.57153230165477</v>
      </c>
      <c r="O29" s="23">
        <f ca="1">L29*E29*1000/COS(G29*3.14/180)-J29*E29*L2*1000/COS(3.14*G2/180)</f>
        <v>-84.102017385687148</v>
      </c>
      <c r="P29" s="24">
        <f t="shared" si="3"/>
        <v>80.932070281193234</v>
      </c>
    </row>
    <row r="30" spans="1:16">
      <c r="A30">
        <f>'Airfoil Interpolation'!I32</f>
        <v>0.9518133333333334</v>
      </c>
      <c r="B30">
        <f>'Airfoil Interpolation'!J32</f>
        <v>-5.2599999999999999E-3</v>
      </c>
      <c r="D30">
        <f t="shared" si="6"/>
        <v>8.093207028119323E-2</v>
      </c>
      <c r="E30">
        <f t="shared" ca="1" si="6"/>
        <v>0.65165325711649091</v>
      </c>
      <c r="F30">
        <f t="shared" si="6"/>
        <v>5.0540113541005682E-2</v>
      </c>
      <c r="G30">
        <f t="shared" ca="1" si="6"/>
        <v>-7.4454245054530679</v>
      </c>
      <c r="J30">
        <f t="shared" si="5"/>
        <v>0</v>
      </c>
      <c r="K30" s="1">
        <f t="shared" ca="1" si="0"/>
        <v>0.9431152149708204</v>
      </c>
      <c r="L30" s="1">
        <f t="shared" ca="1" si="1"/>
        <v>-0.12958260723232373</v>
      </c>
      <c r="N30" s="30">
        <f t="shared" ca="1" si="2"/>
        <v>674.9616579278819</v>
      </c>
      <c r="O30" s="23">
        <f ca="1">L30*E30*1000/COS(G30*3.14/180)-J30*E30*L2*1000/COS(3.14*G2/180)</f>
        <v>-85.160209085580064</v>
      </c>
      <c r="P30" s="24">
        <f t="shared" si="3"/>
        <v>80.932070281193234</v>
      </c>
    </row>
    <row r="31" spans="1:16" ht="15" thickBot="1">
      <c r="A31">
        <f>'Airfoil Interpolation'!I33</f>
        <v>1</v>
      </c>
      <c r="B31">
        <f>'Airfoil Interpolation'!J33</f>
        <v>4.083333333333326E-5</v>
      </c>
      <c r="D31">
        <f t="shared" si="6"/>
        <v>8.093207028119323E-2</v>
      </c>
      <c r="E31">
        <f t="shared" ca="1" si="6"/>
        <v>0.65165325711649091</v>
      </c>
      <c r="F31">
        <f t="shared" si="6"/>
        <v>5.0540113541005682E-2</v>
      </c>
      <c r="G31">
        <f t="shared" ca="1" si="6"/>
        <v>-7.4454245054530679</v>
      </c>
      <c r="J31">
        <f t="shared" si="5"/>
        <v>0</v>
      </c>
      <c r="K31" s="1">
        <f t="shared" ca="1" si="0"/>
        <v>0.99158256364752895</v>
      </c>
      <c r="L31" s="1">
        <f t="shared" ca="1" si="1"/>
        <v>-0.13057575174531344</v>
      </c>
      <c r="N31" s="31">
        <f t="shared" ca="1" si="2"/>
        <v>706.81384577383392</v>
      </c>
      <c r="O31" s="32">
        <f ca="1">L31*E31*1000/COS(G31*3.14/180)-J31*E31*L2*1000/COS(3.14*G2/180)</f>
        <v>-85.812892313559615</v>
      </c>
      <c r="P31" s="33">
        <f t="shared" si="3"/>
        <v>80.932070281193234</v>
      </c>
    </row>
  </sheetData>
  <pageMargins left="0.7" right="0.7" top="0.75" bottom="0.75" header="0.3" footer="0.3"/>
  <pageSetup paperSize="9" orientation="portrait" horizontalDpi="300" verticalDpi="300"/>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opLeftCell="A13" zoomScale="90" zoomScaleNormal="90" zoomScalePageLayoutView="90" workbookViewId="0">
      <selection activeCell="Q53" sqref="Q53"/>
    </sheetView>
  </sheetViews>
  <sheetFormatPr baseColWidth="10" defaultColWidth="8.83203125" defaultRowHeight="14" x14ac:dyDescent="0"/>
  <sheetData>
    <row r="1" spans="1:16" ht="15" thickBot="1">
      <c r="A1">
        <v>3</v>
      </c>
      <c r="D1" t="s">
        <v>0</v>
      </c>
      <c r="E1" t="s">
        <v>1</v>
      </c>
      <c r="F1" t="s">
        <v>2</v>
      </c>
      <c r="G1" t="s">
        <v>5</v>
      </c>
      <c r="J1" t="s">
        <v>10</v>
      </c>
      <c r="K1" t="s">
        <v>9</v>
      </c>
      <c r="N1" s="6" t="s">
        <v>6</v>
      </c>
      <c r="O1" s="6" t="s">
        <v>7</v>
      </c>
      <c r="P1" s="6" t="s">
        <v>8</v>
      </c>
    </row>
    <row r="2" spans="1:16">
      <c r="A2">
        <f>'Airfoil Interpolation'!M4</f>
        <v>1</v>
      </c>
      <c r="B2">
        <f>'Airfoil Interpolation'!N4</f>
        <v>2.9166666666666653E-4</v>
      </c>
      <c r="D2" s="4">
        <f>'Loft Viewer'!D5</f>
        <v>0.16186414056238646</v>
      </c>
      <c r="E2" s="4">
        <f ca="1">'Loft Viewer'!D6</f>
        <v>0.55529000879422674</v>
      </c>
      <c r="F2" s="4">
        <f>'Loft Viewer'!D7</f>
        <v>0.10108022708201136</v>
      </c>
      <c r="G2" s="4">
        <f ca="1">-'Loft Viewer'!D8</f>
        <v>-8.0645313765185396</v>
      </c>
      <c r="J2">
        <f>'Loft Viewer'!B2</f>
        <v>0</v>
      </c>
      <c r="K2" s="1">
        <f ca="1">((A2)*COS(3.14*G2/180)-B2*SIN(3.14*G2/180))</f>
        <v>0.99016159677410231</v>
      </c>
      <c r="L2" s="1">
        <f ca="1">((A2)*SIN(3.14*G2/180)+B2*COS(3.14*G2/180))/COS(3.14*G2/180)</f>
        <v>-0.14132509403781718</v>
      </c>
      <c r="N2" s="27">
        <f ca="1">K2*E2*1000/COS(G2*3.14/180)+F2*1000</f>
        <v>665.62717110177982</v>
      </c>
      <c r="O2" s="28">
        <f ca="1">L2*E2*1000/COS(G2*3.14/180)-J2*E2*L2*1000/COS(3.14*G2/180)</f>
        <v>-79.25944050573888</v>
      </c>
      <c r="P2" s="29">
        <f>D2*1000</f>
        <v>161.86414056238647</v>
      </c>
    </row>
    <row r="3" spans="1:16">
      <c r="A3">
        <f>'Airfoil Interpolation'!M5</f>
        <v>0.95238833333333328</v>
      </c>
      <c r="B3">
        <f>'Airfoil Interpolation'!N5</f>
        <v>5.6433333333333335E-3</v>
      </c>
      <c r="D3">
        <f>D2</f>
        <v>0.16186414056238646</v>
      </c>
      <c r="E3">
        <f ca="1">E2</f>
        <v>0.55529000879422674</v>
      </c>
      <c r="F3">
        <f>F2</f>
        <v>0.10108022708201136</v>
      </c>
      <c r="G3">
        <f ca="1">G2</f>
        <v>-8.0645313765185396</v>
      </c>
      <c r="J3">
        <f>J2</f>
        <v>0</v>
      </c>
      <c r="K3" s="1">
        <f t="shared" ref="K3:K31" ca="1" si="0">((A3)*COS(3.14*G3/180)-B3*SIN(3.14*G3/180))</f>
        <v>0.94377069836585759</v>
      </c>
      <c r="L3" s="1">
        <f t="shared" ref="L3:L31" ca="1" si="1">((A3)*SIN(3.14*G3/180)+B3*COS(3.14*G3/180))/COS(3.14*G3/180)</f>
        <v>-0.1292308173660755</v>
      </c>
      <c r="N3" s="30">
        <f t="shared" ref="N3:N31" ca="1" si="2">K3*E3*1000/COS(G3*3.14/180)+F3*1000</f>
        <v>639.60973465548147</v>
      </c>
      <c r="O3" s="23">
        <f ca="1">L3*E3*1000/COS(G3*3.14/180)-J3*E3*L2*1000/COS(3.14*G2/180)</f>
        <v>-72.476599787675426</v>
      </c>
      <c r="P3" s="24">
        <f t="shared" ref="P3:P31" si="3">D3*1000</f>
        <v>161.86414056238647</v>
      </c>
    </row>
    <row r="4" spans="1:16">
      <c r="A4">
        <f>'Airfoil Interpolation'!M6</f>
        <v>0.867255</v>
      </c>
      <c r="B4">
        <f>'Airfoil Interpolation'!N6</f>
        <v>1.6016666666666669E-2</v>
      </c>
      <c r="D4">
        <f t="shared" ref="D4:G19" si="4">D3</f>
        <v>0.16186414056238646</v>
      </c>
      <c r="E4">
        <f t="shared" ca="1" si="4"/>
        <v>0.55529000879422674</v>
      </c>
      <c r="F4">
        <f t="shared" si="4"/>
        <v>0.10108022708201136</v>
      </c>
      <c r="G4">
        <f t="shared" ca="1" si="4"/>
        <v>-8.0645313765185396</v>
      </c>
      <c r="J4">
        <f t="shared" ref="J4:J31" si="5">J3</f>
        <v>0</v>
      </c>
      <c r="K4" s="1">
        <f t="shared" ca="1" si="0"/>
        <v>0.86093294757539618</v>
      </c>
      <c r="L4" s="1">
        <f t="shared" ca="1" si="1"/>
        <v>-0.10680117713810044</v>
      </c>
      <c r="N4" s="30">
        <f t="shared" ca="1" si="2"/>
        <v>593.15178728876049</v>
      </c>
      <c r="O4" s="23">
        <f ca="1">L4*E4*1000/COS(G4*3.14/180)-J4*E4*L2*1000/COS(3.14*G2/180)</f>
        <v>-59.897370689560645</v>
      </c>
      <c r="P4" s="24">
        <f t="shared" si="3"/>
        <v>161.86414056238647</v>
      </c>
    </row>
    <row r="5" spans="1:16">
      <c r="A5">
        <f>'Airfoil Interpolation'!M7</f>
        <v>0.78173333333333339</v>
      </c>
      <c r="B5">
        <f>'Airfoil Interpolation'!N7</f>
        <v>2.7758333333333333E-2</v>
      </c>
      <c r="D5">
        <f t="shared" si="4"/>
        <v>0.16186414056238646</v>
      </c>
      <c r="E5">
        <f t="shared" ca="1" si="4"/>
        <v>0.55529000879422674</v>
      </c>
      <c r="F5">
        <f t="shared" si="4"/>
        <v>0.10108022708201136</v>
      </c>
      <c r="G5">
        <f t="shared" ca="1" si="4"/>
        <v>-8.0645313765185396</v>
      </c>
      <c r="J5">
        <f t="shared" si="5"/>
        <v>0</v>
      </c>
      <c r="K5" s="1">
        <f t="shared" ca="1" si="0"/>
        <v>0.77790256444711725</v>
      </c>
      <c r="L5" s="1">
        <f t="shared" ca="1" si="1"/>
        <v>-8.2948209068051837E-2</v>
      </c>
      <c r="N5" s="30">
        <f t="shared" ca="1" si="2"/>
        <v>546.58580580805096</v>
      </c>
      <c r="O5" s="23">
        <f ca="1">L5*E5*1000/COS(G5*3.14/180)-J5*E5*L2*1000/COS(3.14*G2/180)</f>
        <v>-46.519895751334822</v>
      </c>
      <c r="P5" s="24">
        <f t="shared" si="3"/>
        <v>161.86414056238647</v>
      </c>
    </row>
    <row r="6" spans="1:16">
      <c r="A6">
        <f>'Airfoil Interpolation'!M8</f>
        <v>0.69623833333333329</v>
      </c>
      <c r="B6">
        <f>'Airfoil Interpolation'!N8</f>
        <v>4.0691666666666661E-2</v>
      </c>
      <c r="D6">
        <f t="shared" si="4"/>
        <v>0.16186414056238646</v>
      </c>
      <c r="E6">
        <f t="shared" ca="1" si="4"/>
        <v>0.55529000879422674</v>
      </c>
      <c r="F6">
        <f t="shared" si="4"/>
        <v>0.10108022708201136</v>
      </c>
      <c r="G6">
        <f t="shared" ca="1" si="4"/>
        <v>-8.0645313765185396</v>
      </c>
      <c r="J6">
        <f t="shared" si="5"/>
        <v>0</v>
      </c>
      <c r="K6" s="1">
        <f t="shared" ca="1" si="0"/>
        <v>0.69506567728026469</v>
      </c>
      <c r="L6" s="1">
        <f t="shared" ca="1" si="1"/>
        <v>-5.7907350778288645E-2</v>
      </c>
      <c r="N6" s="30">
        <f t="shared" ca="1" si="2"/>
        <v>500.12834278789637</v>
      </c>
      <c r="O6" s="23">
        <f ca="1">L6*E6*1000/COS(G6*3.14/180)-J6*E6*L2*1000/COS(3.14*G2/180)</f>
        <v>-32.476215601374825</v>
      </c>
      <c r="P6" s="24">
        <f t="shared" si="3"/>
        <v>161.86414056238647</v>
      </c>
    </row>
    <row r="7" spans="1:16">
      <c r="A7">
        <f>'Airfoil Interpolation'!M9</f>
        <v>0.61089833333333332</v>
      </c>
      <c r="B7">
        <f>'Airfoil Interpolation'!N9</f>
        <v>5.4886666666666667E-2</v>
      </c>
      <c r="D7">
        <f t="shared" si="4"/>
        <v>0.16186414056238646</v>
      </c>
      <c r="E7">
        <f t="shared" ca="1" si="4"/>
        <v>0.55529000879422674</v>
      </c>
      <c r="F7">
        <f t="shared" si="4"/>
        <v>0.10108022708201136</v>
      </c>
      <c r="G7">
        <f t="shared" ca="1" si="4"/>
        <v>-8.0645313765185396</v>
      </c>
      <c r="J7">
        <f t="shared" si="5"/>
        <v>0</v>
      </c>
      <c r="K7" s="1">
        <f t="shared" ca="1" si="0"/>
        <v>0.61255916680270195</v>
      </c>
      <c r="L7" s="1">
        <f t="shared" ca="1" si="1"/>
        <v>-3.1626776419768E-2</v>
      </c>
      <c r="N7" s="30">
        <f t="shared" ca="1" si="2"/>
        <v>453.85616513215302</v>
      </c>
      <c r="O7" s="23">
        <f ca="1">L7*E7*1000/COS(G7*3.14/180)-J7*E7*L2*1000/COS(3.14*G2/180)</f>
        <v>-17.737264716485058</v>
      </c>
      <c r="P7" s="24">
        <f t="shared" si="3"/>
        <v>161.86414056238647</v>
      </c>
    </row>
    <row r="8" spans="1:16">
      <c r="A8">
        <f>'Airfoil Interpolation'!M10</f>
        <v>0.52569833333333338</v>
      </c>
      <c r="B8">
        <f>'Airfoil Interpolation'!N10</f>
        <v>6.9053333333333342E-2</v>
      </c>
      <c r="D8">
        <f t="shared" si="4"/>
        <v>0.16186414056238646</v>
      </c>
      <c r="E8">
        <f t="shared" ca="1" si="4"/>
        <v>0.55529000879422674</v>
      </c>
      <c r="F8">
        <f t="shared" si="4"/>
        <v>0.10108022708201136</v>
      </c>
      <c r="G8">
        <f t="shared" ca="1" si="4"/>
        <v>-8.0645313765185396</v>
      </c>
      <c r="J8">
        <f t="shared" si="5"/>
        <v>0</v>
      </c>
      <c r="K8" s="1">
        <f t="shared" ca="1" si="0"/>
        <v>0.53018730038868878</v>
      </c>
      <c r="L8" s="1">
        <f t="shared" ca="1" si="1"/>
        <v>-5.3943617410793015E-3</v>
      </c>
      <c r="N8" s="30">
        <f t="shared" ca="1" si="2"/>
        <v>407.65949999042584</v>
      </c>
      <c r="O8" s="23">
        <f ca="1">L8*E8*1000/COS(G8*3.14/180)-J8*E8*L2*1000/COS(3.14*G2/180)</f>
        <v>-3.0253232548290381</v>
      </c>
      <c r="P8" s="24">
        <f t="shared" si="3"/>
        <v>161.86414056238647</v>
      </c>
    </row>
    <row r="9" spans="1:16">
      <c r="A9">
        <f>'Airfoil Interpolation'!M11</f>
        <v>0.44083499999999998</v>
      </c>
      <c r="B9">
        <f>'Airfoil Interpolation'!N11</f>
        <v>8.0570000000000003E-2</v>
      </c>
      <c r="D9">
        <f t="shared" si="4"/>
        <v>0.16186414056238646</v>
      </c>
      <c r="E9">
        <f t="shared" ca="1" si="4"/>
        <v>0.55529000879422674</v>
      </c>
      <c r="F9">
        <f t="shared" si="4"/>
        <v>0.10108022708201136</v>
      </c>
      <c r="G9">
        <f t="shared" ca="1" si="4"/>
        <v>-8.0645313765185396</v>
      </c>
      <c r="J9">
        <f t="shared" si="5"/>
        <v>0</v>
      </c>
      <c r="K9" s="1">
        <f t="shared" ca="1" si="0"/>
        <v>0.4477771977418068</v>
      </c>
      <c r="L9" s="1">
        <f t="shared" ca="1" si="1"/>
        <v>1.8140375294838876E-2</v>
      </c>
      <c r="N9" s="30">
        <f t="shared" ca="1" si="2"/>
        <v>361.44139079840556</v>
      </c>
      <c r="O9" s="23">
        <f ca="1">L9*E9*1000/COS(G9*3.14/180)-J9*E9*L2*1000/COS(3.14*G2/180)</f>
        <v>10.173677974332836</v>
      </c>
      <c r="P9" s="24">
        <f t="shared" si="3"/>
        <v>161.86414056238647</v>
      </c>
    </row>
    <row r="10" spans="1:16">
      <c r="A10">
        <f>'Airfoil Interpolation'!M12</f>
        <v>0.35599166666666665</v>
      </c>
      <c r="B10">
        <f>'Airfoil Interpolation'!N12</f>
        <v>8.8249999999999995E-2</v>
      </c>
      <c r="D10">
        <f t="shared" si="4"/>
        <v>0.16186414056238646</v>
      </c>
      <c r="E10">
        <f t="shared" ca="1" si="4"/>
        <v>0.55529000879422674</v>
      </c>
      <c r="F10">
        <f t="shared" si="4"/>
        <v>0.10108022708201136</v>
      </c>
      <c r="G10">
        <f t="shared" ca="1" si="4"/>
        <v>-8.0645313765185396</v>
      </c>
      <c r="J10">
        <f t="shared" si="5"/>
        <v>0</v>
      </c>
      <c r="K10" s="1">
        <f t="shared" ca="1" si="0"/>
        <v>0.36484892898607579</v>
      </c>
      <c r="L10" s="1">
        <f t="shared" ca="1" si="1"/>
        <v>3.7835613328876298E-2</v>
      </c>
      <c r="N10" s="30">
        <f t="shared" ca="1" si="2"/>
        <v>314.93267818484833</v>
      </c>
      <c r="O10" s="23">
        <f ca="1">L10*E10*1000/COS(G10*3.14/180)-J10*E10*L2*1000/COS(3.14*G2/180)</f>
        <v>21.219370587050559</v>
      </c>
      <c r="P10" s="24">
        <f t="shared" si="3"/>
        <v>161.86414056238647</v>
      </c>
    </row>
    <row r="11" spans="1:16">
      <c r="A11">
        <f>'Airfoil Interpolation'!M13</f>
        <v>0.27187333333333336</v>
      </c>
      <c r="B11">
        <f>'Airfoil Interpolation'!N13</f>
        <v>8.9771666666666666E-2</v>
      </c>
      <c r="D11">
        <f t="shared" si="4"/>
        <v>0.16186414056238646</v>
      </c>
      <c r="E11">
        <f t="shared" ca="1" si="4"/>
        <v>0.55529000879422674</v>
      </c>
      <c r="F11">
        <f t="shared" si="4"/>
        <v>0.10108022708201136</v>
      </c>
      <c r="G11">
        <f t="shared" ca="1" si="4"/>
        <v>-8.0645313765185396</v>
      </c>
      <c r="J11">
        <f t="shared" si="5"/>
        <v>0</v>
      </c>
      <c r="K11" s="1">
        <f t="shared" ca="1" si="0"/>
        <v>0.28177499048675497</v>
      </c>
      <c r="L11" s="1">
        <f t="shared" ca="1" si="1"/>
        <v>5.1269845878069639E-2</v>
      </c>
      <c r="N11" s="30">
        <f t="shared" ca="1" si="2"/>
        <v>268.34226951827134</v>
      </c>
      <c r="O11" s="23">
        <f ca="1">L11*E11*1000/COS(G11*3.14/180)-J11*E11*L2*1000/COS(3.14*G2/180)</f>
        <v>28.753699594382571</v>
      </c>
      <c r="P11" s="24">
        <f t="shared" si="3"/>
        <v>161.86414056238647</v>
      </c>
    </row>
    <row r="12" spans="1:16">
      <c r="A12">
        <f>'Airfoil Interpolation'!M14</f>
        <v>0.18833333333333332</v>
      </c>
      <c r="B12">
        <f>'Airfoil Interpolation'!N14</f>
        <v>8.4760000000000002E-2</v>
      </c>
      <c r="D12">
        <f t="shared" si="4"/>
        <v>0.16186414056238646</v>
      </c>
      <c r="E12">
        <f t="shared" ca="1" si="4"/>
        <v>0.55529000879422674</v>
      </c>
      <c r="F12">
        <f t="shared" si="4"/>
        <v>0.10108022708201136</v>
      </c>
      <c r="G12">
        <f t="shared" ca="1" si="4"/>
        <v>-8.0645313765185396</v>
      </c>
      <c r="J12">
        <f t="shared" si="5"/>
        <v>0</v>
      </c>
      <c r="K12" s="1">
        <f t="shared" ca="1" si="0"/>
        <v>0.19835758290884736</v>
      </c>
      <c r="L12" s="1">
        <f t="shared" ca="1" si="1"/>
        <v>5.8088843400655552E-2</v>
      </c>
      <c r="N12" s="30">
        <f t="shared" ca="1" si="2"/>
        <v>221.55923287443972</v>
      </c>
      <c r="O12" s="23">
        <f ca="1">L12*E12*1000/COS(G12*3.14/180)-J12*E12*L2*1000/COS(3.14*G2/180)</f>
        <v>32.578002221809477</v>
      </c>
      <c r="P12" s="24">
        <f t="shared" si="3"/>
        <v>161.86414056238647</v>
      </c>
    </row>
    <row r="13" spans="1:16">
      <c r="A13">
        <f>'Airfoil Interpolation'!M15</f>
        <v>0.10876666666666666</v>
      </c>
      <c r="B13">
        <f>'Airfoil Interpolation'!N15</f>
        <v>6.9481666666666664E-2</v>
      </c>
      <c r="D13">
        <f t="shared" si="4"/>
        <v>0.16186414056238646</v>
      </c>
      <c r="E13">
        <f t="shared" ca="1" si="4"/>
        <v>0.55529000879422674</v>
      </c>
      <c r="F13">
        <f t="shared" si="4"/>
        <v>0.10108022708201136</v>
      </c>
      <c r="G13">
        <f t="shared" ca="1" si="4"/>
        <v>-8.0645313765185396</v>
      </c>
      <c r="J13">
        <f t="shared" si="5"/>
        <v>0</v>
      </c>
      <c r="K13" s="1">
        <f t="shared" ca="1" si="0"/>
        <v>0.11743468666674253</v>
      </c>
      <c r="L13" s="1">
        <f t="shared" ca="1" si="1"/>
        <v>5.4078483660708977E-2</v>
      </c>
      <c r="N13" s="30">
        <f t="shared" ca="1" si="2"/>
        <v>176.17519457663474</v>
      </c>
      <c r="O13" s="23">
        <f ca="1">L13*E13*1000/COS(G13*3.14/180)-J13*E13*L2*1000/COS(3.14*G2/180)</f>
        <v>30.328869671224727</v>
      </c>
      <c r="P13" s="24">
        <f t="shared" si="3"/>
        <v>161.86414056238647</v>
      </c>
    </row>
    <row r="14" spans="1:16">
      <c r="A14">
        <f>'Airfoil Interpolation'!M16</f>
        <v>4.1715000000000002E-2</v>
      </c>
      <c r="B14">
        <f>'Airfoil Interpolation'!N16</f>
        <v>4.4358333333333333E-2</v>
      </c>
      <c r="D14">
        <f t="shared" si="4"/>
        <v>0.16186414056238646</v>
      </c>
      <c r="E14">
        <f t="shared" ca="1" si="4"/>
        <v>0.55529000879422674</v>
      </c>
      <c r="F14">
        <f t="shared" si="4"/>
        <v>0.10108022708201136</v>
      </c>
      <c r="G14">
        <f t="shared" ca="1" si="4"/>
        <v>-8.0645313765185396</v>
      </c>
      <c r="J14">
        <f t="shared" si="5"/>
        <v>0</v>
      </c>
      <c r="K14" s="1">
        <f t="shared" ca="1" si="0"/>
        <v>4.7522707863532701E-2</v>
      </c>
      <c r="L14" s="1">
        <f t="shared" ca="1" si="1"/>
        <v>3.8450790160545791E-2</v>
      </c>
      <c r="N14" s="30">
        <f t="shared" ca="1" si="2"/>
        <v>136.96641596362548</v>
      </c>
      <c r="O14" s="23">
        <f ca="1">L14*E14*1000/COS(G14*3.14/180)-J14*E14*L2*1000/COS(3.14*G2/180)</f>
        <v>21.564380592684589</v>
      </c>
      <c r="P14" s="24">
        <f t="shared" si="3"/>
        <v>161.86414056238647</v>
      </c>
    </row>
    <row r="15" spans="1:16">
      <c r="A15">
        <f>'Airfoil Interpolation'!M17</f>
        <v>1.1011666666666666E-2</v>
      </c>
      <c r="B15">
        <f>'Airfoil Interpolation'!N17</f>
        <v>2.1551666666666667E-2</v>
      </c>
      <c r="D15">
        <f t="shared" si="4"/>
        <v>0.16186414056238646</v>
      </c>
      <c r="E15">
        <f t="shared" ca="1" si="4"/>
        <v>0.55529000879422674</v>
      </c>
      <c r="F15">
        <f t="shared" si="4"/>
        <v>0.10108022708201136</v>
      </c>
      <c r="G15">
        <f t="shared" ca="1" si="4"/>
        <v>-8.0645313765185396</v>
      </c>
      <c r="J15">
        <f t="shared" si="5"/>
        <v>0</v>
      </c>
      <c r="K15" s="1">
        <f t="shared" ca="1" si="0"/>
        <v>1.3924803942074286E-2</v>
      </c>
      <c r="L15" s="1">
        <f t="shared" ca="1" si="1"/>
        <v>1.9992230103375794E-2</v>
      </c>
      <c r="N15" s="30">
        <f t="shared" ca="1" si="2"/>
        <v>118.12368258275976</v>
      </c>
      <c r="O15" s="23">
        <f ca="1">L15*E15*1000/COS(G15*3.14/180)-J15*E15*L2*1000/COS(3.14*G2/180)</f>
        <v>11.21225485992983</v>
      </c>
      <c r="P15" s="24">
        <f t="shared" si="3"/>
        <v>161.86414056238647</v>
      </c>
    </row>
    <row r="16" spans="1:16">
      <c r="A16">
        <f>'Airfoil Interpolation'!M18</f>
        <v>1.2699999999999999E-3</v>
      </c>
      <c r="B16">
        <f>'Airfoil Interpolation'!N18</f>
        <v>7.9166666666666656E-3</v>
      </c>
      <c r="D16">
        <f t="shared" si="4"/>
        <v>0.16186414056238646</v>
      </c>
      <c r="E16">
        <f t="shared" ca="1" si="4"/>
        <v>0.55529000879422674</v>
      </c>
      <c r="F16">
        <f t="shared" si="4"/>
        <v>0.10108022708201136</v>
      </c>
      <c r="G16">
        <f t="shared" ca="1" si="4"/>
        <v>-8.0645313765185396</v>
      </c>
      <c r="J16">
        <f t="shared" si="5"/>
        <v>0</v>
      </c>
      <c r="K16" s="1">
        <f t="shared" ca="1" si="0"/>
        <v>2.3675099716148782E-3</v>
      </c>
      <c r="L16" s="1">
        <f t="shared" ca="1" si="1"/>
        <v>7.736813380571971E-3</v>
      </c>
      <c r="N16" s="30">
        <f t="shared" ca="1" si="2"/>
        <v>111.64199820748637</v>
      </c>
      <c r="O16" s="23">
        <f ca="1">L16*E16*1000/COS(G16*3.14/180)-J16*E16*L2*1000/COS(3.14*G2/180)</f>
        <v>4.3390418666720176</v>
      </c>
      <c r="P16" s="24">
        <f t="shared" si="3"/>
        <v>161.86414056238647</v>
      </c>
    </row>
    <row r="17" spans="1:16">
      <c r="A17">
        <f>'Airfoil Interpolation'!M19</f>
        <v>4.5333333333333337E-4</v>
      </c>
      <c r="B17">
        <f>'Airfoil Interpolation'!N19</f>
        <v>-2.1000000000000003E-3</v>
      </c>
      <c r="D17">
        <f t="shared" si="4"/>
        <v>0.16186414056238646</v>
      </c>
      <c r="E17">
        <f t="shared" ca="1" si="4"/>
        <v>0.55529000879422674</v>
      </c>
      <c r="F17">
        <f t="shared" si="4"/>
        <v>0.10108022708201136</v>
      </c>
      <c r="G17">
        <f t="shared" ca="1" si="4"/>
        <v>-8.0645313765185396</v>
      </c>
      <c r="J17">
        <f t="shared" si="5"/>
        <v>0</v>
      </c>
      <c r="K17" s="1">
        <f t="shared" ca="1" si="0"/>
        <v>1.5439757622041521E-4</v>
      </c>
      <c r="L17" s="1">
        <f t="shared" ca="1" si="1"/>
        <v>-2.1641995981860332E-3</v>
      </c>
      <c r="N17" s="30">
        <f t="shared" ca="1" si="2"/>
        <v>110.40081700446277</v>
      </c>
      <c r="O17" s="23">
        <f ca="1">L17*E17*1000/COS(G17*3.14/180)-J17*E17*L2*1000/COS(3.14*G2/180)</f>
        <v>-1.2137494085025646</v>
      </c>
      <c r="P17" s="24">
        <f t="shared" si="3"/>
        <v>161.86414056238647</v>
      </c>
    </row>
    <row r="18" spans="1:16">
      <c r="A18">
        <f>'Airfoil Interpolation'!M20</f>
        <v>8.1783333333333326E-3</v>
      </c>
      <c r="B18">
        <f>'Airfoil Interpolation'!N20</f>
        <v>-1.3135000000000001E-2</v>
      </c>
      <c r="D18">
        <f t="shared" si="4"/>
        <v>0.16186414056238646</v>
      </c>
      <c r="E18">
        <f t="shared" ca="1" si="4"/>
        <v>0.55529000879422674</v>
      </c>
      <c r="F18">
        <f t="shared" si="4"/>
        <v>0.10108022708201136</v>
      </c>
      <c r="G18">
        <f t="shared" ca="1" si="4"/>
        <v>-8.0645313765185396</v>
      </c>
      <c r="J18">
        <f t="shared" si="5"/>
        <v>0</v>
      </c>
      <c r="K18" s="1">
        <f t="shared" ca="1" si="0"/>
        <v>6.2557778157424039E-3</v>
      </c>
      <c r="L18" s="1">
        <f t="shared" ca="1" si="1"/>
        <v>-1.4293189074628171E-2</v>
      </c>
      <c r="N18" s="30">
        <f t="shared" ca="1" si="2"/>
        <v>113.82265788410075</v>
      </c>
      <c r="O18" s="23">
        <f ca="1">L18*E18*1000/COS(G18*3.14/180)-J18*E18*L2*1000/COS(3.14*G2/180)</f>
        <v>-8.0160581304451419</v>
      </c>
      <c r="P18" s="24">
        <f t="shared" si="3"/>
        <v>161.86414056238647</v>
      </c>
    </row>
    <row r="19" spans="1:16">
      <c r="A19">
        <f>'Airfoil Interpolation'!M21</f>
        <v>3.3623333333333338E-2</v>
      </c>
      <c r="B19">
        <f>'Airfoil Interpolation'!N21</f>
        <v>-2.5816666666666668E-2</v>
      </c>
      <c r="D19">
        <f t="shared" si="4"/>
        <v>0.16186414056238646</v>
      </c>
      <c r="E19">
        <f t="shared" ca="1" si="4"/>
        <v>0.55529000879422674</v>
      </c>
      <c r="F19">
        <f t="shared" si="4"/>
        <v>0.10108022708201136</v>
      </c>
      <c r="G19">
        <f t="shared" ca="1" si="4"/>
        <v>-8.0645313765185396</v>
      </c>
      <c r="J19">
        <f t="shared" si="5"/>
        <v>0</v>
      </c>
      <c r="K19" s="1">
        <f t="shared" ca="1" si="0"/>
        <v>2.9671205068362429E-2</v>
      </c>
      <c r="L19" s="1">
        <f t="shared" ca="1" si="1"/>
        <v>-3.0578294217420428E-2</v>
      </c>
      <c r="N19" s="30">
        <f t="shared" ca="1" si="2"/>
        <v>126.95474653319002</v>
      </c>
      <c r="O19" s="23">
        <f ca="1">L19*E19*1000/COS(G19*3.14/180)-J19*E19*L2*1000/COS(3.14*G2/180)</f>
        <v>-17.149243789953381</v>
      </c>
      <c r="P19" s="24">
        <f t="shared" si="3"/>
        <v>161.86414056238647</v>
      </c>
    </row>
    <row r="20" spans="1:16">
      <c r="A20">
        <f>'Airfoil Interpolation'!M22</f>
        <v>9.6516666666666667E-2</v>
      </c>
      <c r="B20">
        <f>'Airfoil Interpolation'!N22</f>
        <v>-4.1548333333333333E-2</v>
      </c>
      <c r="D20">
        <f t="shared" ref="D20:G31" si="6">D19</f>
        <v>0.16186414056238646</v>
      </c>
      <c r="E20">
        <f t="shared" ca="1" si="6"/>
        <v>0.55529000879422674</v>
      </c>
      <c r="F20">
        <f t="shared" si="6"/>
        <v>0.10108022708201136</v>
      </c>
      <c r="G20">
        <f t="shared" ca="1" si="6"/>
        <v>-8.0645313765185396</v>
      </c>
      <c r="J20">
        <f t="shared" si="5"/>
        <v>0</v>
      </c>
      <c r="K20" s="1">
        <f t="shared" ca="1" si="0"/>
        <v>8.9737338389892743E-2</v>
      </c>
      <c r="L20" s="1">
        <f t="shared" ca="1" si="1"/>
        <v>-5.5216711020661099E-2</v>
      </c>
      <c r="N20" s="30">
        <f t="shared" ca="1" si="2"/>
        <v>160.64167349276926</v>
      </c>
      <c r="O20" s="23">
        <f ca="1">L20*E20*1000/COS(G20*3.14/180)-J20*E20*L2*1000/COS(3.14*G2/180)</f>
        <v>-30.967222430388563</v>
      </c>
      <c r="P20" s="24">
        <f t="shared" si="3"/>
        <v>161.86414056238647</v>
      </c>
    </row>
    <row r="21" spans="1:16">
      <c r="A21">
        <f>'Airfoil Interpolation'!M23</f>
        <v>0.17860833333333334</v>
      </c>
      <c r="B21">
        <f>'Airfoil Interpolation'!N23</f>
        <v>-4.8951666666666664E-2</v>
      </c>
      <c r="D21">
        <f t="shared" si="6"/>
        <v>0.16186414056238646</v>
      </c>
      <c r="E21">
        <f t="shared" ca="1" si="6"/>
        <v>0.55529000879422674</v>
      </c>
      <c r="F21">
        <f t="shared" si="6"/>
        <v>0.10108022708201136</v>
      </c>
      <c r="G21">
        <f t="shared" ca="1" si="6"/>
        <v>-8.0645313765185396</v>
      </c>
      <c r="J21">
        <f t="shared" si="5"/>
        <v>0</v>
      </c>
      <c r="K21" s="1">
        <f t="shared" ca="1" si="0"/>
        <v>0.16997991857945538</v>
      </c>
      <c r="L21" s="1">
        <f t="shared" ca="1" si="1"/>
        <v>-7.4245600268160017E-2</v>
      </c>
      <c r="N21" s="30">
        <f t="shared" ca="1" si="2"/>
        <v>205.64416971512983</v>
      </c>
      <c r="O21" s="23">
        <f ca="1">L21*E21*1000/COS(G21*3.14/180)-J21*E21*L2*1000/COS(3.14*G2/180)</f>
        <v>-41.639206238153456</v>
      </c>
      <c r="P21" s="24">
        <f t="shared" si="3"/>
        <v>161.86414056238647</v>
      </c>
    </row>
    <row r="22" spans="1:16">
      <c r="A22">
        <f>'Airfoil Interpolation'!M24</f>
        <v>0.26382333333333335</v>
      </c>
      <c r="B22">
        <f>'Airfoil Interpolation'!N24</f>
        <v>-5.1263333333333334E-2</v>
      </c>
      <c r="D22">
        <f t="shared" si="6"/>
        <v>0.16186414056238646</v>
      </c>
      <c r="E22">
        <f t="shared" ca="1" si="6"/>
        <v>0.55529000879422674</v>
      </c>
      <c r="F22">
        <f t="shared" si="6"/>
        <v>0.10108022708201136</v>
      </c>
      <c r="G22">
        <f t="shared" ca="1" si="6"/>
        <v>-8.0645313765185396</v>
      </c>
      <c r="J22">
        <f t="shared" si="5"/>
        <v>0</v>
      </c>
      <c r="K22" s="1">
        <f t="shared" ca="1" si="0"/>
        <v>0.25402891747426276</v>
      </c>
      <c r="L22" s="1">
        <f t="shared" ca="1" si="1"/>
        <v>-8.862513919825929E-2</v>
      </c>
      <c r="N22" s="30">
        <f t="shared" ca="1" si="2"/>
        <v>252.78142211056993</v>
      </c>
      <c r="O22" s="23">
        <f ca="1">L22*E22*1000/COS(G22*3.14/180)-J22*E22*L2*1000/COS(3.14*G2/180)</f>
        <v>-49.703692011820685</v>
      </c>
      <c r="P22" s="24">
        <f t="shared" si="3"/>
        <v>161.86414056238647</v>
      </c>
    </row>
    <row r="23" spans="1:16">
      <c r="A23">
        <f>'Airfoil Interpolation'!M25</f>
        <v>0.34959999999999997</v>
      </c>
      <c r="B23">
        <f>'Airfoil Interpolation'!N25</f>
        <v>-5.1066666666666663E-2</v>
      </c>
      <c r="D23">
        <f t="shared" si="6"/>
        <v>0.16186414056238646</v>
      </c>
      <c r="E23">
        <f t="shared" ca="1" si="6"/>
        <v>0.55529000879422674</v>
      </c>
      <c r="F23">
        <f t="shared" si="6"/>
        <v>0.10108022708201136</v>
      </c>
      <c r="G23">
        <f t="shared" ca="1" si="6"/>
        <v>-8.0645313765185396</v>
      </c>
      <c r="J23">
        <f t="shared" si="5"/>
        <v>0</v>
      </c>
      <c r="K23" s="1">
        <f t="shared" ca="1" si="0"/>
        <v>0.33898574685850974</v>
      </c>
      <c r="L23" s="1">
        <f t="shared" ca="1" si="1"/>
        <v>-0.10057588620895422</v>
      </c>
      <c r="N23" s="30">
        <f t="shared" ca="1" si="2"/>
        <v>300.42781364479447</v>
      </c>
      <c r="O23" s="23">
        <f ca="1">L23*E23*1000/COS(G23*3.14/180)-J23*E23*L2*1000/COS(3.14*G2/180)</f>
        <v>-56.406036900689799</v>
      </c>
      <c r="P23" s="24">
        <f t="shared" si="3"/>
        <v>161.86414056238647</v>
      </c>
    </row>
    <row r="24" spans="1:16">
      <c r="A24">
        <f>'Airfoil Interpolation'!M26</f>
        <v>0.43561</v>
      </c>
      <c r="B24">
        <f>'Airfoil Interpolation'!N26</f>
        <v>-4.8586666666666667E-2</v>
      </c>
      <c r="D24">
        <f t="shared" si="6"/>
        <v>0.16186414056238646</v>
      </c>
      <c r="E24">
        <f t="shared" ca="1" si="6"/>
        <v>0.55529000879422674</v>
      </c>
      <c r="F24">
        <f t="shared" si="6"/>
        <v>0.10108022708201136</v>
      </c>
      <c r="G24">
        <f t="shared" ca="1" si="6"/>
        <v>-8.0645313765185396</v>
      </c>
      <c r="J24">
        <f t="shared" si="5"/>
        <v>0</v>
      </c>
      <c r="K24" s="1">
        <f t="shared" ca="1" si="0"/>
        <v>0.42449376812297751</v>
      </c>
      <c r="L24" s="1">
        <f t="shared" ca="1" si="1"/>
        <v>-0.11027634379714686</v>
      </c>
      <c r="N24" s="30">
        <f t="shared" ca="1" si="2"/>
        <v>348.38333046448253</v>
      </c>
      <c r="O24" s="23">
        <f ca="1">L24*E24*1000/COS(G24*3.14/180)-J24*E24*L2*1000/COS(3.14*G2/180)</f>
        <v>-61.846350571268793</v>
      </c>
      <c r="P24" s="24">
        <f t="shared" si="3"/>
        <v>161.86414056238647</v>
      </c>
    </row>
    <row r="25" spans="1:16">
      <c r="A25">
        <f>'Airfoil Interpolation'!M27</f>
        <v>0.52198166666666668</v>
      </c>
      <c r="B25">
        <f>'Airfoil Interpolation'!N27</f>
        <v>-4.4295000000000001E-2</v>
      </c>
      <c r="D25">
        <f t="shared" si="6"/>
        <v>0.16186414056238646</v>
      </c>
      <c r="E25">
        <f t="shared" ca="1" si="6"/>
        <v>0.55529000879422674</v>
      </c>
      <c r="F25">
        <f t="shared" si="6"/>
        <v>0.10108022708201136</v>
      </c>
      <c r="G25">
        <f t="shared" ca="1" si="6"/>
        <v>-8.0645313765185396</v>
      </c>
      <c r="J25">
        <f t="shared" si="5"/>
        <v>0</v>
      </c>
      <c r="K25" s="1">
        <f t="shared" ca="1" si="0"/>
        <v>0.51061391074881923</v>
      </c>
      <c r="L25" s="1">
        <f t="shared" ca="1" si="1"/>
        <v>-0.11821635278046098</v>
      </c>
      <c r="N25" s="30">
        <f t="shared" ca="1" si="2"/>
        <v>396.68214368849578</v>
      </c>
      <c r="O25" s="23">
        <f ca="1">L25*E25*1000/COS(G25*3.14/180)-J25*E25*L2*1000/COS(3.14*G2/180)</f>
        <v>-66.299350754375823</v>
      </c>
      <c r="P25" s="24">
        <f t="shared" si="3"/>
        <v>161.86414056238647</v>
      </c>
    </row>
    <row r="26" spans="1:16">
      <c r="A26">
        <f>'Airfoil Interpolation'!M28</f>
        <v>0.60838999999999999</v>
      </c>
      <c r="B26">
        <f>'Airfoil Interpolation'!N28</f>
        <v>-3.8611666666666669E-2</v>
      </c>
      <c r="D26">
        <f t="shared" si="6"/>
        <v>0.16186414056238646</v>
      </c>
      <c r="E26">
        <f t="shared" ca="1" si="6"/>
        <v>0.55529000879422674</v>
      </c>
      <c r="F26">
        <f t="shared" si="6"/>
        <v>0.10108022708201136</v>
      </c>
      <c r="G26">
        <f t="shared" ca="1" si="6"/>
        <v>-8.0645313765185396</v>
      </c>
      <c r="J26">
        <f t="shared" si="5"/>
        <v>0</v>
      </c>
      <c r="K26" s="1">
        <f t="shared" ca="1" si="0"/>
        <v>0.59696549408033361</v>
      </c>
      <c r="L26" s="1">
        <f t="shared" ca="1" si="1"/>
        <v>-0.12476988771166758</v>
      </c>
      <c r="N26" s="30">
        <f t="shared" ca="1" si="2"/>
        <v>445.11075594761155</v>
      </c>
      <c r="O26" s="23">
        <f ca="1">L26*E26*1000/COS(G26*3.14/180)-J26*E26*L2*1000/COS(3.14*G2/180)</f>
        <v>-69.974773831350788</v>
      </c>
      <c r="P26" s="24">
        <f t="shared" si="3"/>
        <v>161.86414056238647</v>
      </c>
    </row>
    <row r="27" spans="1:16">
      <c r="A27">
        <f>'Airfoil Interpolation'!M29</f>
        <v>0.69470500000000002</v>
      </c>
      <c r="B27">
        <f>'Airfoil Interpolation'!N29</f>
        <v>-3.1625E-2</v>
      </c>
      <c r="D27">
        <f t="shared" si="6"/>
        <v>0.16186414056238646</v>
      </c>
      <c r="E27">
        <f t="shared" ca="1" si="6"/>
        <v>0.55529000879422674</v>
      </c>
      <c r="F27">
        <f t="shared" si="6"/>
        <v>0.10108022708201136</v>
      </c>
      <c r="G27">
        <f t="shared" ca="1" si="6"/>
        <v>-8.0645313765185396</v>
      </c>
      <c r="J27">
        <f t="shared" si="5"/>
        <v>0</v>
      </c>
      <c r="K27" s="1">
        <f t="shared" ca="1" si="0"/>
        <v>0.68340741653091008</v>
      </c>
      <c r="L27" s="1">
        <f t="shared" ca="1" si="1"/>
        <v>-0.13000687174520845</v>
      </c>
      <c r="N27" s="30">
        <f t="shared" ca="1" si="2"/>
        <v>493.59003315113364</v>
      </c>
      <c r="O27" s="23">
        <f ca="1">L27*E27*1000/COS(G27*3.14/180)-J27*E27*L2*1000/COS(3.14*G2/180)</f>
        <v>-72.911834848447043</v>
      </c>
      <c r="P27" s="24">
        <f t="shared" si="3"/>
        <v>161.86414056238647</v>
      </c>
    </row>
    <row r="28" spans="1:16">
      <c r="A28">
        <f>'Airfoil Interpolation'!M30</f>
        <v>0.78090833333333332</v>
      </c>
      <c r="B28">
        <f>'Airfoil Interpolation'!N30</f>
        <v>-2.3741666666666668E-2</v>
      </c>
      <c r="D28">
        <f t="shared" si="6"/>
        <v>0.16186414056238646</v>
      </c>
      <c r="E28">
        <f t="shared" ca="1" si="6"/>
        <v>0.55529000879422674</v>
      </c>
      <c r="F28">
        <f t="shared" si="6"/>
        <v>0.10108022708201136</v>
      </c>
      <c r="G28">
        <f t="shared" ca="1" si="6"/>
        <v>-8.0645313765185396</v>
      </c>
      <c r="J28">
        <f t="shared" si="5"/>
        <v>0</v>
      </c>
      <c r="K28" s="1">
        <f t="shared" ca="1" si="0"/>
        <v>0.76986450402864814</v>
      </c>
      <c r="L28" s="1">
        <f t="shared" ca="1" si="1"/>
        <v>-0.13433137524047062</v>
      </c>
      <c r="N28" s="30">
        <f t="shared" ca="1" si="2"/>
        <v>542.07781537750009</v>
      </c>
      <c r="O28" s="23">
        <f ca="1">L28*E28*1000/COS(G28*3.14/180)-J28*E28*L2*1000/COS(3.14*G2/180)</f>
        <v>-75.337148836972489</v>
      </c>
      <c r="P28" s="24">
        <f t="shared" si="3"/>
        <v>161.86414056238647</v>
      </c>
    </row>
    <row r="29" spans="1:16">
      <c r="A29">
        <f>'Airfoil Interpolation'!M31</f>
        <v>0.86703833333333324</v>
      </c>
      <c r="B29">
        <f>'Airfoil Interpolation'!N31</f>
        <v>-1.4800000000000001E-2</v>
      </c>
      <c r="D29">
        <f t="shared" si="6"/>
        <v>0.16186414056238646</v>
      </c>
      <c r="E29">
        <f t="shared" ca="1" si="6"/>
        <v>0.55529000879422674</v>
      </c>
      <c r="F29">
        <f t="shared" si="6"/>
        <v>0.10108022708201136</v>
      </c>
      <c r="G29">
        <f t="shared" ca="1" si="6"/>
        <v>-8.0645313765185396</v>
      </c>
      <c r="J29">
        <f t="shared" si="5"/>
        <v>0</v>
      </c>
      <c r="K29" s="1">
        <f t="shared" ca="1" si="0"/>
        <v>0.85639737972632002</v>
      </c>
      <c r="L29" s="1">
        <f t="shared" ca="1" si="1"/>
        <v>-0.13758716017328113</v>
      </c>
      <c r="N29" s="30">
        <f t="shared" ca="1" si="2"/>
        <v>590.60810194723581</v>
      </c>
      <c r="O29" s="23">
        <f ca="1">L29*E29*1000/COS(G29*3.14/180)-J29*E29*L2*1000/COS(3.14*G2/180)</f>
        <v>-77.163092728525996</v>
      </c>
      <c r="P29" s="24">
        <f t="shared" si="3"/>
        <v>161.86414056238647</v>
      </c>
    </row>
    <row r="30" spans="1:16">
      <c r="A30">
        <f>'Airfoil Interpolation'!M32</f>
        <v>0.95239666666666667</v>
      </c>
      <c r="B30">
        <f>'Airfoil Interpolation'!N32</f>
        <v>-5.3100000000000005E-3</v>
      </c>
      <c r="D30">
        <f t="shared" si="6"/>
        <v>0.16186414056238646</v>
      </c>
      <c r="E30">
        <f t="shared" ca="1" si="6"/>
        <v>0.55529000879422674</v>
      </c>
      <c r="F30">
        <f t="shared" si="6"/>
        <v>0.10108022708201136</v>
      </c>
      <c r="G30">
        <f t="shared" ca="1" si="6"/>
        <v>-8.0645313765185396</v>
      </c>
      <c r="J30">
        <f t="shared" si="5"/>
        <v>0</v>
      </c>
      <c r="K30" s="1">
        <f t="shared" ca="1" si="0"/>
        <v>0.9422430983151493</v>
      </c>
      <c r="L30" s="1">
        <f t="shared" ca="1" si="1"/>
        <v>-0.14018533083908136</v>
      </c>
      <c r="N30" s="30">
        <f t="shared" ca="1" si="2"/>
        <v>638.75300976766164</v>
      </c>
      <c r="O30" s="23">
        <f ca="1">L30*E30*1000/COS(G30*3.14/180)-J30*E30*L2*1000/COS(3.14*G2/180)</f>
        <v>-78.620226401153488</v>
      </c>
      <c r="P30" s="24">
        <f t="shared" si="3"/>
        <v>161.86414056238647</v>
      </c>
    </row>
    <row r="31" spans="1:16" ht="15" thickBot="1">
      <c r="A31">
        <f>'Airfoil Interpolation'!M33</f>
        <v>1</v>
      </c>
      <c r="B31">
        <f>'Airfoil Interpolation'!N33</f>
        <v>-5.8333333333333414E-5</v>
      </c>
      <c r="D31">
        <f t="shared" si="6"/>
        <v>0.16186414056238646</v>
      </c>
      <c r="E31">
        <f t="shared" ca="1" si="6"/>
        <v>0.55529000879422674</v>
      </c>
      <c r="F31">
        <f t="shared" si="6"/>
        <v>0.10108022708201136</v>
      </c>
      <c r="G31">
        <f t="shared" ca="1" si="6"/>
        <v>-8.0645313765185396</v>
      </c>
      <c r="J31">
        <f t="shared" si="5"/>
        <v>0</v>
      </c>
      <c r="K31" s="1">
        <f t="shared" ca="1" si="0"/>
        <v>0.99011252058392063</v>
      </c>
      <c r="L31" s="1">
        <f t="shared" ca="1" si="1"/>
        <v>-0.14167509403781717</v>
      </c>
      <c r="N31" s="31">
        <f t="shared" ca="1" si="2"/>
        <v>665.59964767147585</v>
      </c>
      <c r="O31" s="32">
        <f ca="1">L31*E31*1000/COS(G31*3.14/180)-J31*E31*L2*1000/COS(3.14*G2/180)</f>
        <v>-79.455731223717009</v>
      </c>
      <c r="P31" s="33">
        <f t="shared" si="3"/>
        <v>161.86414056238647</v>
      </c>
    </row>
  </sheetData>
  <pageMargins left="0.7" right="0.7" top="0.75" bottom="0.75" header="0.3" footer="0.3"/>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opLeftCell="A14" workbookViewId="0">
      <selection activeCell="U31" sqref="U31"/>
    </sheetView>
  </sheetViews>
  <sheetFormatPr baseColWidth="10" defaultColWidth="8.83203125" defaultRowHeight="14" x14ac:dyDescent="0"/>
  <sheetData>
    <row r="1" spans="1:16" ht="15" thickBot="1">
      <c r="A1">
        <v>4</v>
      </c>
      <c r="D1" t="s">
        <v>0</v>
      </c>
      <c r="E1" t="s">
        <v>1</v>
      </c>
      <c r="F1" t="s">
        <v>2</v>
      </c>
      <c r="G1" t="s">
        <v>5</v>
      </c>
      <c r="J1" t="s">
        <v>10</v>
      </c>
      <c r="K1" t="s">
        <v>9</v>
      </c>
      <c r="N1" s="6" t="s">
        <v>6</v>
      </c>
      <c r="O1" s="6" t="s">
        <v>7</v>
      </c>
      <c r="P1" s="6" t="s">
        <v>8</v>
      </c>
    </row>
    <row r="2" spans="1:16">
      <c r="A2">
        <f>'Airfoil Interpolation'!Q4</f>
        <v>1</v>
      </c>
      <c r="B2">
        <f>'Airfoil Interpolation'!R4</f>
        <v>3.6749999999999988E-4</v>
      </c>
      <c r="D2" s="4">
        <f>'Loft Viewer'!E5</f>
        <v>0.24279621084357969</v>
      </c>
      <c r="E2" s="4">
        <f ca="1">'Loft Viewer'!E6</f>
        <v>0.4881126830176839</v>
      </c>
      <c r="F2" s="4">
        <f>'Loft Viewer'!E7</f>
        <v>0.15162034062301705</v>
      </c>
      <c r="G2" s="4">
        <f ca="1">-'Loft Viewer'!E8</f>
        <v>-8.3468212260385748</v>
      </c>
      <c r="J2">
        <f>'Loft Viewer'!B2</f>
        <v>0</v>
      </c>
      <c r="K2" s="1">
        <f ca="1">((A2)*COS(3.14*G2/180)-B2*SIN(3.14*G2/180))</f>
        <v>0.98947153242873598</v>
      </c>
      <c r="L2" s="1">
        <f ca="1">((A2)*SIN(3.14*G2/180)+B2*COS(3.14*G2/180))/COS(3.14*G2/180)</f>
        <v>-0.14627595657584871</v>
      </c>
      <c r="N2" s="27">
        <f ca="1">K2*E2*1000/COS(G2*3.14/180)+F2*1000</f>
        <v>653.61032730128932</v>
      </c>
      <c r="O2" s="28">
        <f ca="1">L2*E2*1000/COS(G2*3.14/180)-J2*E2*L2*1000/COS(3.14*G2/180)</f>
        <v>-72.162760716422355</v>
      </c>
      <c r="P2" s="29">
        <f>D2*1000</f>
        <v>242.7962108435797</v>
      </c>
    </row>
    <row r="3" spans="1:16">
      <c r="A3">
        <f>'Airfoil Interpolation'!Q5</f>
        <v>0.9529725</v>
      </c>
      <c r="B3">
        <f>'Airfoil Interpolation'!R5</f>
        <v>5.6600000000000001E-3</v>
      </c>
      <c r="D3">
        <f>D2</f>
        <v>0.24279621084357969</v>
      </c>
      <c r="E3">
        <f ca="1">E2</f>
        <v>0.4881126830176839</v>
      </c>
      <c r="F3">
        <f>F2</f>
        <v>0.15162034062301705</v>
      </c>
      <c r="G3">
        <f ca="1">G2</f>
        <v>-8.3468212260385748</v>
      </c>
      <c r="J3">
        <f>J2</f>
        <v>0</v>
      </c>
      <c r="K3" s="1">
        <f t="shared" ref="K3:K31" ca="1" si="0">((A3)*COS(3.14*G3/180)-B3*SIN(3.14*G3/180))</f>
        <v>0.94370956535689321</v>
      </c>
      <c r="L3" s="1">
        <f t="shared" ref="L3:L31" ca="1" si="1">((A3)*SIN(3.14*G3/180)+B3*COS(3.14*G3/180))/COS(3.14*G3/180)</f>
        <v>-0.13408718142172793</v>
      </c>
      <c r="N3" s="30">
        <f t="shared" ref="N3:N31" ca="1" si="2">K3*E3*1000/COS(G3*3.14/180)+F3*1000</f>
        <v>631.03443747618439</v>
      </c>
      <c r="O3" s="23">
        <f ca="1">L3*E3*1000/COS(G3*3.14/180)-J3*E3*L2*1000/COS(3.14*G2/180)</f>
        <v>-66.149635350757734</v>
      </c>
      <c r="P3" s="24">
        <f t="shared" ref="P3:P31" si="3">D3*1000</f>
        <v>242.7962108435797</v>
      </c>
    </row>
    <row r="4" spans="1:16">
      <c r="A4">
        <f>'Airfoil Interpolation'!Q6</f>
        <v>0.8677475</v>
      </c>
      <c r="B4">
        <f>'Airfoil Interpolation'!R6</f>
        <v>1.5905000000000002E-2</v>
      </c>
      <c r="D4">
        <f t="shared" ref="D4:G19" si="4">D3</f>
        <v>0.24279621084357969</v>
      </c>
      <c r="E4">
        <f t="shared" ca="1" si="4"/>
        <v>0.4881126830176839</v>
      </c>
      <c r="F4">
        <f t="shared" si="4"/>
        <v>0.15162034062301705</v>
      </c>
      <c r="G4">
        <f t="shared" ca="1" si="4"/>
        <v>-8.3468212260385748</v>
      </c>
      <c r="J4">
        <f t="shared" ref="J4:J31" si="5">J3</f>
        <v>0</v>
      </c>
      <c r="K4" s="1">
        <f t="shared" ca="1" si="0"/>
        <v>0.86087286283813069</v>
      </c>
      <c r="L4" s="1">
        <f t="shared" ca="1" si="1"/>
        <v>-0.11134449283505127</v>
      </c>
      <c r="N4" s="30">
        <f t="shared" ca="1" si="2"/>
        <v>590.16835611646843</v>
      </c>
      <c r="O4" s="23">
        <f ca="1">L4*E4*1000/COS(G4*3.14/180)-J4*E4*L2*1000/COS(3.14*G2/180)</f>
        <v>-54.929915904401177</v>
      </c>
      <c r="P4" s="24">
        <f t="shared" si="3"/>
        <v>242.7962108435797</v>
      </c>
    </row>
    <row r="5" spans="1:16">
      <c r="A5">
        <f>'Airfoil Interpolation'!Q7</f>
        <v>0.78198000000000001</v>
      </c>
      <c r="B5">
        <f>'Airfoil Interpolation'!R7</f>
        <v>2.73125E-2</v>
      </c>
      <c r="D5">
        <f t="shared" si="4"/>
        <v>0.24279621084357969</v>
      </c>
      <c r="E5">
        <f t="shared" ca="1" si="4"/>
        <v>0.4881126830176839</v>
      </c>
      <c r="F5">
        <f t="shared" si="4"/>
        <v>0.15162034062301705</v>
      </c>
      <c r="G5">
        <f t="shared" ca="1" si="4"/>
        <v>-8.3468212260385748</v>
      </c>
      <c r="J5">
        <f t="shared" si="5"/>
        <v>0</v>
      </c>
      <c r="K5" s="1">
        <f t="shared" ca="1" si="0"/>
        <v>0.7776680700485763</v>
      </c>
      <c r="L5" s="1">
        <f t="shared" ca="1" si="1"/>
        <v>-8.7359750173182177E-2</v>
      </c>
      <c r="N5" s="30">
        <f t="shared" ca="1" si="2"/>
        <v>549.12068366854498</v>
      </c>
      <c r="O5" s="23">
        <f ca="1">L5*E5*1000/COS(G5*3.14/180)-J5*E5*L2*1000/COS(3.14*G2/180)</f>
        <v>-43.097450159041657</v>
      </c>
      <c r="P5" s="24">
        <f t="shared" si="3"/>
        <v>242.7962108435797</v>
      </c>
    </row>
    <row r="6" spans="1:16">
      <c r="A6">
        <f>'Airfoil Interpolation'!Q8</f>
        <v>0.6962275</v>
      </c>
      <c r="B6">
        <f>'Airfoil Interpolation'!R8</f>
        <v>3.9707499999999993E-2</v>
      </c>
      <c r="D6">
        <f t="shared" si="4"/>
        <v>0.24279621084357969</v>
      </c>
      <c r="E6">
        <f t="shared" ca="1" si="4"/>
        <v>0.4881126830176839</v>
      </c>
      <c r="F6">
        <f t="shared" si="4"/>
        <v>0.15162034062301705</v>
      </c>
      <c r="G6">
        <f t="shared" ca="1" si="4"/>
        <v>-8.3468212260385748</v>
      </c>
      <c r="J6">
        <f t="shared" si="5"/>
        <v>0</v>
      </c>
      <c r="K6" s="1">
        <f t="shared" ca="1" si="0"/>
        <v>0.69462139659235256</v>
      </c>
      <c r="L6" s="1">
        <f t="shared" ca="1" si="1"/>
        <v>-6.2389707163161695E-2</v>
      </c>
      <c r="N6" s="30">
        <f t="shared" ca="1" si="2"/>
        <v>508.15101671026503</v>
      </c>
      <c r="O6" s="23">
        <f ca="1">L6*E6*1000/COS(G6*3.14/180)-J6*E6*L2*1000/COS(3.14*G2/180)</f>
        <v>-30.778903208528046</v>
      </c>
      <c r="P6" s="24">
        <f t="shared" si="3"/>
        <v>242.7962108435797</v>
      </c>
    </row>
    <row r="7" spans="1:16">
      <c r="A7">
        <f>'Airfoil Interpolation'!Q9</f>
        <v>0.61061750000000004</v>
      </c>
      <c r="B7">
        <f>'Airfoil Interpolation'!R9</f>
        <v>5.3144999999999998E-2</v>
      </c>
      <c r="D7">
        <f t="shared" si="4"/>
        <v>0.24279621084357969</v>
      </c>
      <c r="E7">
        <f t="shared" ca="1" si="4"/>
        <v>0.4881126830176839</v>
      </c>
      <c r="F7">
        <f t="shared" si="4"/>
        <v>0.15162034062301705</v>
      </c>
      <c r="G7">
        <f t="shared" ca="1" si="4"/>
        <v>-8.3468212260385748</v>
      </c>
      <c r="J7">
        <f t="shared" si="5"/>
        <v>0</v>
      </c>
      <c r="K7" s="1">
        <f t="shared" ca="1" si="0"/>
        <v>0.61186697333524798</v>
      </c>
      <c r="L7" s="1">
        <f t="shared" ca="1" si="1"/>
        <v>-3.6398060845703288E-2</v>
      </c>
      <c r="N7" s="30">
        <f t="shared" ca="1" si="2"/>
        <v>467.32552642792041</v>
      </c>
      <c r="O7" s="23">
        <f ca="1">L7*E7*1000/COS(G7*3.14/180)-J7*E7*L2*1000/COS(3.14*G2/180)</f>
        <v>-17.956365603996584</v>
      </c>
      <c r="P7" s="24">
        <f t="shared" si="3"/>
        <v>242.7962108435797</v>
      </c>
    </row>
    <row r="8" spans="1:16">
      <c r="A8">
        <f>'Airfoil Interpolation'!Q10</f>
        <v>0.5251475000000001</v>
      </c>
      <c r="B8">
        <f>'Airfoil Interpolation'!R10</f>
        <v>6.6450000000000009E-2</v>
      </c>
      <c r="D8">
        <f t="shared" si="4"/>
        <v>0.24279621084357969</v>
      </c>
      <c r="E8">
        <f t="shared" ca="1" si="4"/>
        <v>0.4881126830176839</v>
      </c>
      <c r="F8">
        <f t="shared" si="4"/>
        <v>0.15162034062301705</v>
      </c>
      <c r="G8">
        <f t="shared" ca="1" si="4"/>
        <v>-8.3468212260385748</v>
      </c>
      <c r="J8">
        <f t="shared" si="5"/>
        <v>0</v>
      </c>
      <c r="K8" s="1">
        <f t="shared" ca="1" si="0"/>
        <v>0.52923184397660472</v>
      </c>
      <c r="L8" s="1">
        <f t="shared" ca="1" si="1"/>
        <v>-1.0559444612165512E-2</v>
      </c>
      <c r="N8" s="30">
        <f t="shared" ca="1" si="2"/>
        <v>426.55888776583595</v>
      </c>
      <c r="O8" s="23">
        <f ca="1">L8*E8*1000/COS(G8*3.14/180)-J8*E8*L2*1000/COS(3.14*G2/180)</f>
        <v>-5.2093227942822899</v>
      </c>
      <c r="P8" s="24">
        <f t="shared" si="3"/>
        <v>242.7962108435797</v>
      </c>
    </row>
    <row r="9" spans="1:16">
      <c r="A9">
        <f>'Airfoil Interpolation'!Q11</f>
        <v>0.4400075</v>
      </c>
      <c r="B9">
        <f>'Airfoil Interpolation'!R11</f>
        <v>7.7234999999999998E-2</v>
      </c>
      <c r="D9">
        <f t="shared" si="4"/>
        <v>0.24279621084357969</v>
      </c>
      <c r="E9">
        <f t="shared" ca="1" si="4"/>
        <v>0.4881126830176839</v>
      </c>
      <c r="F9">
        <f t="shared" si="4"/>
        <v>0.15162034062301705</v>
      </c>
      <c r="G9">
        <f t="shared" ca="1" si="4"/>
        <v>-8.3468212260385748</v>
      </c>
      <c r="J9">
        <f t="shared" si="5"/>
        <v>0</v>
      </c>
      <c r="K9" s="1">
        <f t="shared" ca="1" si="0"/>
        <v>0.44655759152730284</v>
      </c>
      <c r="L9" s="1">
        <f t="shared" ca="1" si="1"/>
        <v>1.2710779280702265E-2</v>
      </c>
      <c r="N9" s="30">
        <f t="shared" ca="1" si="2"/>
        <v>385.77294839093599</v>
      </c>
      <c r="O9" s="23">
        <f ca="1">L9*E9*1000/COS(G9*3.14/180)-J9*E9*L2*1000/COS(3.14*G2/180)</f>
        <v>6.2706472425422568</v>
      </c>
      <c r="P9" s="24">
        <f t="shared" si="3"/>
        <v>242.7962108435797</v>
      </c>
    </row>
    <row r="10" spans="1:16">
      <c r="A10">
        <f>'Airfoil Interpolation'!Q12</f>
        <v>0.35493249999999998</v>
      </c>
      <c r="B10">
        <f>'Airfoil Interpolation'!R12</f>
        <v>8.4389999999999993E-2</v>
      </c>
      <c r="D10">
        <f t="shared" si="4"/>
        <v>0.24279621084357969</v>
      </c>
      <c r="E10">
        <f t="shared" ca="1" si="4"/>
        <v>0.4881126830176839</v>
      </c>
      <c r="F10">
        <f t="shared" si="4"/>
        <v>0.15162034062301705</v>
      </c>
      <c r="G10">
        <f t="shared" ca="1" si="4"/>
        <v>-8.3468212260385748</v>
      </c>
      <c r="J10">
        <f t="shared" si="5"/>
        <v>0</v>
      </c>
      <c r="K10" s="1">
        <f t="shared" ca="1" si="0"/>
        <v>0.36342096836715987</v>
      </c>
      <c r="L10" s="1">
        <f t="shared" ca="1" si="1"/>
        <v>3.2341471348892585E-2</v>
      </c>
      <c r="N10" s="30">
        <f t="shared" ca="1" si="2"/>
        <v>344.75890627277073</v>
      </c>
      <c r="O10" s="23">
        <f ca="1">L10*E10*1000/COS(G10*3.14/180)-J10*E10*L2*1000/COS(3.14*G2/180)</f>
        <v>15.955116020430809</v>
      </c>
      <c r="P10" s="24">
        <f t="shared" si="3"/>
        <v>242.7962108435797</v>
      </c>
    </row>
    <row r="11" spans="1:16">
      <c r="A11">
        <f>'Airfoil Interpolation'!Q13</f>
        <v>0.27059</v>
      </c>
      <c r="B11">
        <f>'Airfoil Interpolation'!R13</f>
        <v>8.5762499999999992E-2</v>
      </c>
      <c r="D11">
        <f t="shared" si="4"/>
        <v>0.24279621084357969</v>
      </c>
      <c r="E11">
        <f t="shared" ca="1" si="4"/>
        <v>0.4881126830176839</v>
      </c>
      <c r="F11">
        <f t="shared" si="4"/>
        <v>0.15162034062301705</v>
      </c>
      <c r="G11">
        <f t="shared" ca="1" si="4"/>
        <v>-8.3468212260385748</v>
      </c>
      <c r="J11">
        <f t="shared" si="5"/>
        <v>0</v>
      </c>
      <c r="K11" s="1">
        <f t="shared" ca="1" si="0"/>
        <v>0.28017010125394254</v>
      </c>
      <c r="L11" s="1">
        <f t="shared" ca="1" si="1"/>
        <v>4.6082247085141088E-2</v>
      </c>
      <c r="N11" s="30">
        <f t="shared" ca="1" si="2"/>
        <v>303.68850383919897</v>
      </c>
      <c r="O11" s="23">
        <f ca="1">L11*E11*1000/COS(G11*3.14/180)-J11*E11*L2*1000/COS(3.14*G2/180)</f>
        <v>22.733894534169401</v>
      </c>
      <c r="P11" s="24">
        <f t="shared" si="3"/>
        <v>242.7962108435797</v>
      </c>
    </row>
    <row r="12" spans="1:16">
      <c r="A12">
        <f>'Airfoil Interpolation'!Q14</f>
        <v>0.18692499999999998</v>
      </c>
      <c r="B12">
        <f>'Airfoil Interpolation'!R14</f>
        <v>8.0919999999999992E-2</v>
      </c>
      <c r="D12">
        <f t="shared" si="4"/>
        <v>0.24279621084357969</v>
      </c>
      <c r="E12">
        <f t="shared" ca="1" si="4"/>
        <v>0.4881126830176839</v>
      </c>
      <c r="F12">
        <f t="shared" si="4"/>
        <v>0.15162034062301705</v>
      </c>
      <c r="G12">
        <f t="shared" ca="1" si="4"/>
        <v>-8.3468212260385748</v>
      </c>
      <c r="J12">
        <f t="shared" si="5"/>
        <v>0</v>
      </c>
      <c r="K12" s="1">
        <f t="shared" ca="1" si="0"/>
        <v>0.19668782002297497</v>
      </c>
      <c r="L12" s="1">
        <f t="shared" ca="1" si="1"/>
        <v>5.3508671879559482E-2</v>
      </c>
      <c r="N12" s="30">
        <f t="shared" ca="1" si="2"/>
        <v>262.50393717798153</v>
      </c>
      <c r="O12" s="23">
        <f ca="1">L12*E12*1000/COS(G12*3.14/180)-J12*E12*L2*1000/COS(3.14*G2/180)</f>
        <v>26.39759517208137</v>
      </c>
      <c r="P12" s="24">
        <f t="shared" si="3"/>
        <v>242.7962108435797</v>
      </c>
    </row>
    <row r="13" spans="1:16">
      <c r="A13">
        <f>'Airfoil Interpolation'!Q15</f>
        <v>0.10728</v>
      </c>
      <c r="B13">
        <f>'Airfoil Interpolation'!R15</f>
        <v>6.6347500000000004E-2</v>
      </c>
      <c r="D13">
        <f t="shared" si="4"/>
        <v>0.24279621084357969</v>
      </c>
      <c r="E13">
        <f t="shared" ca="1" si="4"/>
        <v>0.4881126830176839</v>
      </c>
      <c r="F13">
        <f t="shared" si="4"/>
        <v>0.15162034062301705</v>
      </c>
      <c r="G13">
        <f t="shared" ca="1" si="4"/>
        <v>-8.3468212260385748</v>
      </c>
      <c r="J13">
        <f t="shared" si="5"/>
        <v>0</v>
      </c>
      <c r="K13" s="1">
        <f t="shared" ca="1" si="0"/>
        <v>0.11577125769695794</v>
      </c>
      <c r="L13" s="1">
        <f t="shared" ca="1" si="1"/>
        <v>5.0615589978542957E-2</v>
      </c>
      <c r="N13" s="30">
        <f t="shared" ca="1" si="2"/>
        <v>222.58512439551271</v>
      </c>
      <c r="O13" s="23">
        <f ca="1">L13*E13*1000/COS(G13*3.14/180)-J13*E13*L2*1000/COS(3.14*G2/180)</f>
        <v>24.970342314925642</v>
      </c>
      <c r="P13" s="24">
        <f t="shared" si="3"/>
        <v>242.7962108435797</v>
      </c>
    </row>
    <row r="14" spans="1:16">
      <c r="A14">
        <f>'Airfoil Interpolation'!Q16</f>
        <v>4.11025E-2</v>
      </c>
      <c r="B14">
        <f>'Airfoil Interpolation'!R16</f>
        <v>4.2477500000000001E-2</v>
      </c>
      <c r="D14">
        <f t="shared" si="4"/>
        <v>0.24279621084357969</v>
      </c>
      <c r="E14">
        <f t="shared" ca="1" si="4"/>
        <v>0.4881126830176839</v>
      </c>
      <c r="F14">
        <f t="shared" si="4"/>
        <v>0.15162034062301705</v>
      </c>
      <c r="G14">
        <f t="shared" ca="1" si="4"/>
        <v>-8.3468212260385748</v>
      </c>
      <c r="J14">
        <f t="shared" si="5"/>
        <v>0</v>
      </c>
      <c r="K14" s="1">
        <f t="shared" ca="1" si="0"/>
        <v>4.6830694989513089E-2</v>
      </c>
      <c r="L14" s="1">
        <f t="shared" ca="1" si="1"/>
        <v>3.6450087326091181E-2</v>
      </c>
      <c r="N14" s="30">
        <f t="shared" ca="1" si="2"/>
        <v>188.57446777927524</v>
      </c>
      <c r="O14" s="23">
        <f ca="1">L14*E14*1000/COS(G14*3.14/180)-J14*E14*L2*1000/COS(3.14*G2/180)</f>
        <v>17.982031985150634</v>
      </c>
      <c r="P14" s="24">
        <f t="shared" si="3"/>
        <v>242.7962108435797</v>
      </c>
    </row>
    <row r="15" spans="1:16">
      <c r="A15">
        <f>'Airfoil Interpolation'!Q17</f>
        <v>1.0987500000000001E-2</v>
      </c>
      <c r="B15">
        <f>'Airfoil Interpolation'!R17</f>
        <v>2.0867500000000001E-2</v>
      </c>
      <c r="D15">
        <f t="shared" si="4"/>
        <v>0.24279621084357969</v>
      </c>
      <c r="E15">
        <f t="shared" ca="1" si="4"/>
        <v>0.4881126830176839</v>
      </c>
      <c r="F15">
        <f t="shared" si="4"/>
        <v>0.15162034062301705</v>
      </c>
      <c r="G15">
        <f t="shared" ca="1" si="4"/>
        <v>-8.3468212260385748</v>
      </c>
      <c r="J15">
        <f t="shared" si="5"/>
        <v>0</v>
      </c>
      <c r="K15" s="1">
        <f t="shared" ca="1" si="0"/>
        <v>1.389893378110249E-2</v>
      </c>
      <c r="L15" s="1">
        <f t="shared" ca="1" si="1"/>
        <v>1.9256255020872862E-2</v>
      </c>
      <c r="N15" s="30">
        <f t="shared" ca="1" si="2"/>
        <v>172.32814227450487</v>
      </c>
      <c r="O15" s="23">
        <f ca="1">L15*E15*1000/COS(G15*3.14/180)-J15*E15*L2*1000/COS(3.14*G2/180)</f>
        <v>9.499746615193807</v>
      </c>
      <c r="P15" s="24">
        <f t="shared" si="3"/>
        <v>242.7962108435797</v>
      </c>
    </row>
    <row r="16" spans="1:16">
      <c r="A16">
        <f>'Airfoil Interpolation'!Q18</f>
        <v>1.255E-3</v>
      </c>
      <c r="B16">
        <f>'Airfoil Interpolation'!R18</f>
        <v>7.6150000000000002E-3</v>
      </c>
      <c r="D16">
        <f t="shared" si="4"/>
        <v>0.24279621084357969</v>
      </c>
      <c r="E16">
        <f t="shared" ca="1" si="4"/>
        <v>0.4881126830176839</v>
      </c>
      <c r="F16">
        <f t="shared" si="4"/>
        <v>0.15162034062301705</v>
      </c>
      <c r="G16">
        <f t="shared" ca="1" si="4"/>
        <v>-8.3468212260385748</v>
      </c>
      <c r="J16">
        <f t="shared" si="5"/>
        <v>0</v>
      </c>
      <c r="K16" s="1">
        <f t="shared" ca="1" si="0"/>
        <v>2.3465932000363322E-3</v>
      </c>
      <c r="L16" s="1">
        <f t="shared" ca="1" si="1"/>
        <v>7.4309624619973095E-3</v>
      </c>
      <c r="N16" s="30">
        <f t="shared" ca="1" si="2"/>
        <v>166.62899110447771</v>
      </c>
      <c r="O16" s="23">
        <f ca="1">L16*E16*1000/COS(G16*3.14/180)-J16*E16*L2*1000/COS(3.14*G2/180)</f>
        <v>3.6659392192029303</v>
      </c>
      <c r="P16" s="24">
        <f t="shared" si="3"/>
        <v>242.7962108435797</v>
      </c>
    </row>
    <row r="17" spans="1:16">
      <c r="A17">
        <f>'Airfoil Interpolation'!Q19</f>
        <v>5.1999999999999995E-4</v>
      </c>
      <c r="B17">
        <f>'Airfoil Interpolation'!R19</f>
        <v>-2.3799999999999997E-3</v>
      </c>
      <c r="D17">
        <f t="shared" si="4"/>
        <v>0.24279621084357969</v>
      </c>
      <c r="E17">
        <f t="shared" ca="1" si="4"/>
        <v>0.4881126830176839</v>
      </c>
      <c r="F17">
        <f t="shared" si="4"/>
        <v>0.15162034062301705</v>
      </c>
      <c r="G17">
        <f t="shared" ca="1" si="4"/>
        <v>-8.3468212260385748</v>
      </c>
      <c r="J17">
        <f t="shared" si="5"/>
        <v>0</v>
      </c>
      <c r="K17" s="1">
        <f t="shared" ca="1" si="0"/>
        <v>1.6917920838363081E-4</v>
      </c>
      <c r="L17" s="1">
        <f t="shared" ca="1" si="1"/>
        <v>-2.4562545974194413E-3</v>
      </c>
      <c r="N17" s="30">
        <f t="shared" ca="1" si="2"/>
        <v>165.55480086475262</v>
      </c>
      <c r="O17" s="23">
        <f ca="1">L17*E17*1000/COS(G17*3.14/180)-J17*E17*L2*1000/COS(3.14*G2/180)</f>
        <v>-1.2117515203551696</v>
      </c>
      <c r="P17" s="24">
        <f t="shared" si="3"/>
        <v>242.7962108435797</v>
      </c>
    </row>
    <row r="18" spans="1:16">
      <c r="A18">
        <f>'Airfoil Interpolation'!Q20</f>
        <v>8.4375000000000006E-3</v>
      </c>
      <c r="B18">
        <f>'Airfoil Interpolation'!R20</f>
        <v>-1.32925E-2</v>
      </c>
      <c r="D18">
        <f t="shared" si="4"/>
        <v>0.24279621084357969</v>
      </c>
      <c r="E18">
        <f t="shared" ca="1" si="4"/>
        <v>0.4881126830176839</v>
      </c>
      <c r="F18">
        <f t="shared" si="4"/>
        <v>0.15162034062301705</v>
      </c>
      <c r="G18">
        <f t="shared" ca="1" si="4"/>
        <v>-8.3468212260385748</v>
      </c>
      <c r="J18">
        <f t="shared" si="5"/>
        <v>0</v>
      </c>
      <c r="K18" s="1">
        <f t="shared" ca="1" si="0"/>
        <v>6.4195846486614239E-3</v>
      </c>
      <c r="L18" s="1">
        <f t="shared" ca="1" si="1"/>
        <v>-1.4529804164858724E-2</v>
      </c>
      <c r="N18" s="30">
        <f t="shared" ca="1" si="2"/>
        <v>168.63833231261233</v>
      </c>
      <c r="O18" s="23">
        <f ca="1">L18*E18*1000/COS(G18*3.14/180)-J18*E18*L2*1000/COS(3.14*G2/180)</f>
        <v>-7.1680322983325766</v>
      </c>
      <c r="P18" s="24">
        <f t="shared" si="3"/>
        <v>242.7962108435797</v>
      </c>
    </row>
    <row r="19" spans="1:16">
      <c r="A19">
        <f>'Airfoil Interpolation'!Q21</f>
        <v>3.3820000000000003E-2</v>
      </c>
      <c r="B19">
        <f>'Airfoil Interpolation'!R21</f>
        <v>-2.579E-2</v>
      </c>
      <c r="D19">
        <f t="shared" si="4"/>
        <v>0.24279621084357969</v>
      </c>
      <c r="E19">
        <f t="shared" ca="1" si="4"/>
        <v>0.4881126830176839</v>
      </c>
      <c r="F19">
        <f t="shared" si="4"/>
        <v>0.15162034062301705</v>
      </c>
      <c r="G19">
        <f t="shared" ca="1" si="4"/>
        <v>-8.3468212260385748</v>
      </c>
      <c r="J19">
        <f t="shared" si="5"/>
        <v>0</v>
      </c>
      <c r="K19" s="1">
        <f t="shared" ca="1" si="0"/>
        <v>2.9720208793219804E-2</v>
      </c>
      <c r="L19" s="1">
        <f t="shared" ca="1" si="1"/>
        <v>-3.0749481701395204E-2</v>
      </c>
      <c r="N19" s="30">
        <f t="shared" ca="1" si="2"/>
        <v>180.13329979768349</v>
      </c>
      <c r="O19" s="23">
        <f ca="1">L19*E19*1000/COS(G19*3.14/180)-J19*E19*L2*1000/COS(3.14*G2/180)</f>
        <v>-15.169734945614147</v>
      </c>
      <c r="P19" s="24">
        <f t="shared" si="3"/>
        <v>242.7962108435797</v>
      </c>
    </row>
    <row r="20" spans="1:16">
      <c r="A20">
        <f>'Airfoil Interpolation'!Q22</f>
        <v>9.6255000000000007E-2</v>
      </c>
      <c r="B20">
        <f>'Airfoil Interpolation'!R22</f>
        <v>-4.1207499999999994E-2</v>
      </c>
      <c r="D20">
        <f t="shared" ref="D20:G31" si="6">D19</f>
        <v>0.24279621084357969</v>
      </c>
      <c r="E20">
        <f t="shared" ca="1" si="6"/>
        <v>0.4881126830176839</v>
      </c>
      <c r="F20">
        <f t="shared" si="6"/>
        <v>0.15162034062301705</v>
      </c>
      <c r="G20">
        <f t="shared" ca="1" si="6"/>
        <v>-8.3468212260385748</v>
      </c>
      <c r="J20">
        <f t="shared" si="5"/>
        <v>0</v>
      </c>
      <c r="K20" s="1">
        <f t="shared" ca="1" si="0"/>
        <v>8.9257583426291143E-2</v>
      </c>
      <c r="L20" s="1">
        <f t="shared" ca="1" si="1"/>
        <v>-5.5322665912708312E-2</v>
      </c>
      <c r="N20" s="30">
        <f t="shared" ca="1" si="2"/>
        <v>209.50505315964159</v>
      </c>
      <c r="O20" s="23">
        <f ca="1">L20*E20*1000/COS(G20*3.14/180)-J20*E20*L2*1000/COS(3.14*G2/180)</f>
        <v>-27.292498342906029</v>
      </c>
      <c r="P20" s="24">
        <f t="shared" si="3"/>
        <v>242.7962108435797</v>
      </c>
    </row>
    <row r="21" spans="1:16">
      <c r="A21">
        <f>'Airfoil Interpolation'!Q23</f>
        <v>0.17817250000000001</v>
      </c>
      <c r="B21">
        <f>'Airfoil Interpolation'!R23</f>
        <v>-4.86925E-2</v>
      </c>
      <c r="D21">
        <f t="shared" si="6"/>
        <v>0.24279621084357969</v>
      </c>
      <c r="E21">
        <f t="shared" ca="1" si="6"/>
        <v>0.4881126830176839</v>
      </c>
      <c r="F21">
        <f t="shared" si="6"/>
        <v>0.15162034062301705</v>
      </c>
      <c r="G21">
        <f t="shared" ca="1" si="6"/>
        <v>-8.3468212260385748</v>
      </c>
      <c r="J21">
        <f t="shared" si="5"/>
        <v>0</v>
      </c>
      <c r="K21" s="1">
        <f t="shared" ca="1" si="0"/>
        <v>0.16922223832134331</v>
      </c>
      <c r="L21" s="1">
        <f t="shared" ca="1" si="1"/>
        <v>-7.4820331266760395E-2</v>
      </c>
      <c r="N21" s="30">
        <f t="shared" ca="1" si="2"/>
        <v>248.95425856593656</v>
      </c>
      <c r="O21" s="23">
        <f ca="1">L21*E21*1000/COS(G21*3.14/180)-J21*E21*L2*1000/COS(3.14*G2/180)</f>
        <v>-36.911340648980861</v>
      </c>
      <c r="P21" s="24">
        <f t="shared" si="3"/>
        <v>242.7962108435797</v>
      </c>
    </row>
    <row r="22" spans="1:16">
      <c r="A22">
        <f>'Airfoil Interpolation'!Q24</f>
        <v>0.263345</v>
      </c>
      <c r="B22">
        <f>'Airfoil Interpolation'!R24</f>
        <v>-5.1104999999999998E-2</v>
      </c>
      <c r="D22">
        <f t="shared" si="6"/>
        <v>0.24279621084357969</v>
      </c>
      <c r="E22">
        <f t="shared" ca="1" si="6"/>
        <v>0.4881126830176839</v>
      </c>
      <c r="F22">
        <f t="shared" si="6"/>
        <v>0.15162034062301705</v>
      </c>
      <c r="G22">
        <f t="shared" ca="1" si="6"/>
        <v>-8.3468212260385748</v>
      </c>
      <c r="J22">
        <f t="shared" si="5"/>
        <v>0</v>
      </c>
      <c r="K22" s="1">
        <f t="shared" ca="1" si="0"/>
        <v>0.25314342717512561</v>
      </c>
      <c r="L22" s="1">
        <f t="shared" ca="1" si="1"/>
        <v>-8.9722821071966871E-2</v>
      </c>
      <c r="N22" s="30">
        <f t="shared" ca="1" si="2"/>
        <v>290.35535285413533</v>
      </c>
      <c r="O22" s="23">
        <f ca="1">L22*E22*1000/COS(G22*3.14/180)-J22*E22*L2*1000/COS(3.14*G2/180)</f>
        <v>-44.263231083102937</v>
      </c>
      <c r="P22" s="24">
        <f t="shared" si="3"/>
        <v>242.7962108435797</v>
      </c>
    </row>
    <row r="23" spans="1:16">
      <c r="A23">
        <f>'Airfoil Interpolation'!Q25</f>
        <v>0.34917999999999999</v>
      </c>
      <c r="B23">
        <f>'Airfoil Interpolation'!R25</f>
        <v>-5.0924999999999998E-2</v>
      </c>
      <c r="D23">
        <f t="shared" si="6"/>
        <v>0.24279621084357969</v>
      </c>
      <c r="E23">
        <f t="shared" ca="1" si="6"/>
        <v>0.4881126830176839</v>
      </c>
      <c r="F23">
        <f t="shared" si="6"/>
        <v>0.15162034062301705</v>
      </c>
      <c r="G23">
        <f t="shared" ca="1" si="6"/>
        <v>-8.3468212260385748</v>
      </c>
      <c r="J23">
        <f t="shared" si="5"/>
        <v>0</v>
      </c>
      <c r="K23" s="1">
        <f t="shared" ca="1" si="0"/>
        <v>0.33809625584292963</v>
      </c>
      <c r="L23" s="1">
        <f t="shared" ca="1" si="1"/>
        <v>-0.10212996216715484</v>
      </c>
      <c r="N23" s="30">
        <f t="shared" ca="1" si="2"/>
        <v>332.26538913654474</v>
      </c>
      <c r="O23" s="23">
        <f ca="1">L23*E23*1000/COS(G23*3.14/180)-J23*E23*L2*1000/COS(3.14*G2/180)</f>
        <v>-50.38408357988822</v>
      </c>
      <c r="P23" s="24">
        <f t="shared" si="3"/>
        <v>242.7962108435797</v>
      </c>
    </row>
    <row r="24" spans="1:16">
      <c r="A24">
        <f>'Airfoil Interpolation'!Q26</f>
        <v>0.435305</v>
      </c>
      <c r="B24">
        <f>'Airfoil Interpolation'!R26</f>
        <v>-4.845E-2</v>
      </c>
      <c r="D24">
        <f t="shared" si="6"/>
        <v>0.24279621084357969</v>
      </c>
      <c r="E24">
        <f t="shared" ca="1" si="6"/>
        <v>0.4881126830176839</v>
      </c>
      <c r="F24">
        <f t="shared" si="6"/>
        <v>0.15162034062301705</v>
      </c>
      <c r="G24">
        <f t="shared" ca="1" si="6"/>
        <v>-8.3468212260385748</v>
      </c>
      <c r="J24">
        <f t="shared" si="5"/>
        <v>0</v>
      </c>
      <c r="K24" s="1">
        <f t="shared" ca="1" si="0"/>
        <v>0.42366900125839158</v>
      </c>
      <c r="L24" s="1">
        <f t="shared" ca="1" si="1"/>
        <v>-0.11228462986474981</v>
      </c>
      <c r="N24" s="30">
        <f t="shared" ca="1" si="2"/>
        <v>374.48125082575746</v>
      </c>
      <c r="O24" s="23">
        <f ca="1">L24*E24*1000/COS(G24*3.14/180)-J24*E24*L2*1000/COS(3.14*G2/180)</f>
        <v>-55.393716552866628</v>
      </c>
      <c r="P24" s="24">
        <f t="shared" si="3"/>
        <v>242.7962108435797</v>
      </c>
    </row>
    <row r="25" spans="1:16">
      <c r="A25">
        <f>'Airfoil Interpolation'!Q27</f>
        <v>0.52180250000000006</v>
      </c>
      <c r="B25">
        <f>'Airfoil Interpolation'!R27</f>
        <v>-4.4167499999999998E-2</v>
      </c>
      <c r="D25">
        <f t="shared" si="6"/>
        <v>0.24279621084357969</v>
      </c>
      <c r="E25">
        <f t="shared" ca="1" si="6"/>
        <v>0.4881126830176839</v>
      </c>
      <c r="F25">
        <f t="shared" si="6"/>
        <v>0.15162034062301705</v>
      </c>
      <c r="G25">
        <f t="shared" ca="1" si="6"/>
        <v>-8.3468212260385748</v>
      </c>
      <c r="J25">
        <f t="shared" si="5"/>
        <v>0</v>
      </c>
      <c r="K25" s="1">
        <f t="shared" ca="1" si="0"/>
        <v>0.50987255821702226</v>
      </c>
      <c r="L25" s="1">
        <f t="shared" ca="1" si="1"/>
        <v>-0.1206864222499193</v>
      </c>
      <c r="N25" s="30">
        <f t="shared" ca="1" si="2"/>
        <v>417.00831268424224</v>
      </c>
      <c r="O25" s="23">
        <f ca="1">L25*E25*1000/COS(G25*3.14/180)-J25*E25*L2*1000/COS(3.14*G2/180)</f>
        <v>-59.538598238638833</v>
      </c>
      <c r="P25" s="24">
        <f t="shared" si="3"/>
        <v>242.7962108435797</v>
      </c>
    </row>
    <row r="26" spans="1:16">
      <c r="A26">
        <f>'Airfoil Interpolation'!Q28</f>
        <v>0.60836000000000001</v>
      </c>
      <c r="B26">
        <f>'Airfoil Interpolation'!R28</f>
        <v>-3.8497500000000004E-2</v>
      </c>
      <c r="D26">
        <f t="shared" si="6"/>
        <v>0.24279621084357969</v>
      </c>
      <c r="E26">
        <f t="shared" ca="1" si="6"/>
        <v>0.4881126830176839</v>
      </c>
      <c r="F26">
        <f t="shared" si="6"/>
        <v>0.15162034062301705</v>
      </c>
      <c r="G26">
        <f t="shared" ca="1" si="6"/>
        <v>-8.3468212260385748</v>
      </c>
      <c r="J26">
        <f t="shared" si="5"/>
        <v>0</v>
      </c>
      <c r="K26" s="1">
        <f t="shared" ca="1" si="0"/>
        <v>0.59633679501108594</v>
      </c>
      <c r="L26" s="1">
        <f t="shared" ca="1" si="1"/>
        <v>-0.12770951324248331</v>
      </c>
      <c r="N26" s="30">
        <f t="shared" ca="1" si="2"/>
        <v>459.66397651552074</v>
      </c>
      <c r="O26" s="23">
        <f ca="1">L26*E26*1000/COS(G26*3.14/180)-J26*E26*L2*1000/COS(3.14*G2/180)</f>
        <v>-63.003320990414259</v>
      </c>
      <c r="P26" s="24">
        <f t="shared" si="3"/>
        <v>242.7962108435797</v>
      </c>
    </row>
    <row r="27" spans="1:16">
      <c r="A27">
        <f>'Airfoil Interpolation'!Q29</f>
        <v>0.69484750000000006</v>
      </c>
      <c r="B27">
        <f>'Airfoil Interpolation'!R29</f>
        <v>-3.1547499999999999E-2</v>
      </c>
      <c r="D27">
        <f t="shared" si="6"/>
        <v>0.24279621084357969</v>
      </c>
      <c r="E27">
        <f t="shared" ca="1" si="6"/>
        <v>0.4881126830176839</v>
      </c>
      <c r="F27">
        <f t="shared" si="6"/>
        <v>0.15162034062301705</v>
      </c>
      <c r="G27">
        <f t="shared" ca="1" si="6"/>
        <v>-8.3468212260385748</v>
      </c>
      <c r="J27">
        <f t="shared" si="5"/>
        <v>0</v>
      </c>
      <c r="K27" s="1">
        <f t="shared" ca="1" si="0"/>
        <v>0.68291748991467538</v>
      </c>
      <c r="L27" s="1">
        <f t="shared" ca="1" si="1"/>
        <v>-0.13344233919308704</v>
      </c>
      <c r="N27" s="30">
        <f t="shared" ca="1" si="2"/>
        <v>502.37709297871447</v>
      </c>
      <c r="O27" s="23">
        <f ca="1">L27*E27*1000/COS(G27*3.14/180)-J27*E27*L2*1000/COS(3.14*G2/180)</f>
        <v>-65.831513380923766</v>
      </c>
      <c r="P27" s="24">
        <f t="shared" si="3"/>
        <v>242.7962108435797</v>
      </c>
    </row>
    <row r="28" spans="1:16">
      <c r="A28">
        <f>'Airfoil Interpolation'!Q30</f>
        <v>0.78123750000000003</v>
      </c>
      <c r="B28">
        <f>'Airfoil Interpolation'!R30</f>
        <v>-2.36975E-2</v>
      </c>
      <c r="D28">
        <f t="shared" si="6"/>
        <v>0.24279621084357969</v>
      </c>
      <c r="E28">
        <f t="shared" ca="1" si="6"/>
        <v>0.4881126830176839</v>
      </c>
      <c r="F28">
        <f t="shared" si="6"/>
        <v>0.15162034062301705</v>
      </c>
      <c r="G28">
        <f t="shared" ca="1" si="6"/>
        <v>-8.3468212260385748</v>
      </c>
      <c r="J28">
        <f t="shared" si="5"/>
        <v>0</v>
      </c>
      <c r="K28" s="1">
        <f t="shared" ca="1" si="0"/>
        <v>0.76953229907851428</v>
      </c>
      <c r="L28" s="1">
        <f t="shared" ca="1" si="1"/>
        <v>-0.13826086740667459</v>
      </c>
      <c r="N28" s="30">
        <f t="shared" ca="1" si="2"/>
        <v>545.10703913324653</v>
      </c>
      <c r="O28" s="23">
        <f ca="1">L28*E28*1000/COS(G28*3.14/180)-J28*E28*L2*1000/COS(3.14*G2/180)</f>
        <v>-68.208652499492075</v>
      </c>
      <c r="P28" s="24">
        <f t="shared" si="3"/>
        <v>242.7962108435797</v>
      </c>
    </row>
    <row r="29" spans="1:16">
      <c r="A29">
        <f>'Airfoil Interpolation'!Q31</f>
        <v>0.86755249999999995</v>
      </c>
      <c r="B29">
        <f>'Airfoil Interpolation'!R31</f>
        <v>-1.481E-2</v>
      </c>
      <c r="D29">
        <f t="shared" si="6"/>
        <v>0.24279621084357969</v>
      </c>
      <c r="E29">
        <f t="shared" ca="1" si="6"/>
        <v>0.4881126830176839</v>
      </c>
      <c r="F29">
        <f t="shared" si="6"/>
        <v>0.15162034062301705</v>
      </c>
      <c r="G29">
        <f t="shared" ca="1" si="6"/>
        <v>-8.3468212260385748</v>
      </c>
      <c r="J29">
        <f t="shared" si="5"/>
        <v>0</v>
      </c>
      <c r="K29" s="1">
        <f t="shared" ca="1" si="0"/>
        <v>0.85622343452199789</v>
      </c>
      <c r="L29" s="1">
        <f t="shared" ca="1" si="1"/>
        <v>-0.14203089736101895</v>
      </c>
      <c r="N29" s="30">
        <f t="shared" ca="1" si="2"/>
        <v>587.87463956250235</v>
      </c>
      <c r="O29" s="23">
        <f ca="1">L29*E29*1000/COS(G29*3.14/180)-J29*E29*L2*1000/COS(3.14*G2/180)</f>
        <v>-70.068532796005655</v>
      </c>
      <c r="P29" s="24">
        <f t="shared" si="3"/>
        <v>242.7962108435797</v>
      </c>
    </row>
    <row r="30" spans="1:16">
      <c r="A30">
        <f>'Airfoil Interpolation'!Q32</f>
        <v>0.95298000000000005</v>
      </c>
      <c r="B30">
        <f>'Airfoil Interpolation'!R32</f>
        <v>-5.3600000000000002E-3</v>
      </c>
      <c r="D30">
        <f t="shared" si="6"/>
        <v>0.24279621084357969</v>
      </c>
      <c r="E30">
        <f t="shared" ca="1" si="6"/>
        <v>0.4881126830176839</v>
      </c>
      <c r="F30">
        <f t="shared" si="6"/>
        <v>0.15162034062301705</v>
      </c>
      <c r="G30">
        <f t="shared" ca="1" si="6"/>
        <v>-8.3468212260385748</v>
      </c>
      <c r="J30">
        <f t="shared" si="5"/>
        <v>0</v>
      </c>
      <c r="K30" s="1">
        <f t="shared" ca="1" si="0"/>
        <v>0.94211807538792058</v>
      </c>
      <c r="L30" s="1">
        <f t="shared" ca="1" si="1"/>
        <v>-0.14510828124765232</v>
      </c>
      <c r="N30" s="30">
        <f t="shared" ca="1" si="2"/>
        <v>630.24930290928796</v>
      </c>
      <c r="O30" s="23">
        <f ca="1">L30*E30*1000/COS(G30*3.14/180)-J30*E30*L2*1000/COS(3.14*G2/180)</f>
        <v>-71.58670790996257</v>
      </c>
      <c r="P30" s="24">
        <f t="shared" si="3"/>
        <v>242.7962108435797</v>
      </c>
    </row>
    <row r="31" spans="1:16" ht="15" thickBot="1">
      <c r="A31">
        <f>'Airfoil Interpolation'!Q33</f>
        <v>1</v>
      </c>
      <c r="B31">
        <f>'Airfoil Interpolation'!R33</f>
        <v>-1.5749999999999998E-4</v>
      </c>
      <c r="D31">
        <f t="shared" si="6"/>
        <v>0.24279621084357969</v>
      </c>
      <c r="E31">
        <f t="shared" ca="1" si="6"/>
        <v>0.4881126830176839</v>
      </c>
      <c r="F31">
        <f t="shared" si="6"/>
        <v>0.15162034062301705</v>
      </c>
      <c r="G31">
        <f t="shared" ca="1" si="6"/>
        <v>-8.3468212260385748</v>
      </c>
      <c r="J31">
        <f t="shared" si="5"/>
        <v>0</v>
      </c>
      <c r="K31" s="1">
        <f t="shared" ca="1" si="0"/>
        <v>0.98939535928282696</v>
      </c>
      <c r="L31" s="1">
        <f t="shared" ca="1" si="1"/>
        <v>-0.14680095657584868</v>
      </c>
      <c r="N31" s="31">
        <f t="shared" ca="1" si="2"/>
        <v>653.57274857249536</v>
      </c>
      <c r="O31" s="32">
        <f ca="1">L31*E31*1000/COS(G31*3.14/180)-J31*E31*L2*1000/COS(3.14*G2/180)</f>
        <v>-72.421760556607808</v>
      </c>
      <c r="P31" s="33">
        <f t="shared" si="3"/>
        <v>242.7962108435797</v>
      </c>
    </row>
  </sheetData>
  <pageMargins left="0.7" right="0.7" top="0.75" bottom="0.75" header="0.3" footer="0.3"/>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Arkusze</vt:lpstr>
      </vt:variant>
      <vt:variant>
        <vt:i4>19</vt:i4>
      </vt:variant>
    </vt:vector>
  </HeadingPairs>
  <TitlesOfParts>
    <vt:vector size="19" baseType="lpstr">
      <vt:lpstr>READ ME!</vt:lpstr>
      <vt:lpstr>Planform Geometry</vt:lpstr>
      <vt:lpstr>Twist and Trim</vt:lpstr>
      <vt:lpstr>Airfoil Interpolation</vt:lpstr>
      <vt:lpstr>Loft Viewer</vt:lpstr>
      <vt:lpstr>Root</vt:lpstr>
      <vt:lpstr>2</vt:lpstr>
      <vt:lpstr>3</vt:lpstr>
      <vt:lpstr>4</vt:lpstr>
      <vt:lpstr>5</vt:lpstr>
      <vt:lpstr>6</vt:lpstr>
      <vt:lpstr>7</vt:lpstr>
      <vt:lpstr>8</vt:lpstr>
      <vt:lpstr>9</vt:lpstr>
      <vt:lpstr>10</vt:lpstr>
      <vt:lpstr>11</vt:lpstr>
      <vt:lpstr>12</vt:lpstr>
      <vt:lpstr>Tip</vt:lpstr>
      <vt:lpstr>Airfoil database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2018-08-25T14:22:59Z</dcterms:modified>
</cp:coreProperties>
</file>