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drawings/drawing6.xml" ContentType="application/vnd.openxmlformats-officedocument.drawing+xml"/>
  <Override PartName="/xl/comments5.xml" ContentType="application/vnd.openxmlformats-officedocument.spreadsheetml.comments+xml"/>
  <Override PartName="/xl/charts/chart7.xml" ContentType="application/vnd.openxmlformats-officedocument.drawingml.chart+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HP\Desktop\"/>
    </mc:Choice>
  </mc:AlternateContent>
  <xr:revisionPtr revIDLastSave="0" documentId="13_ncr:1_{BDD4283A-A0C2-4526-872F-4B50F7F911CC}" xr6:coauthVersionLast="47" xr6:coauthVersionMax="47" xr10:uidLastSave="{00000000-0000-0000-0000-000000000000}"/>
  <bookViews>
    <workbookView xWindow="-108" yWindow="-108" windowWidth="23256" windowHeight="12576" tabRatio="805" activeTab="3" xr2:uid="{00000000-000D-0000-FFFF-FFFF00000000}"/>
  </bookViews>
  <sheets>
    <sheet name="Instructions" sheetId="7942" r:id="rId1"/>
    <sheet name="Wing" sheetId="1" r:id="rId2"/>
    <sheet name="Cruiciform Tail" sheetId="2" r:id="rId3"/>
    <sheet name="Cruciform Tail CG" sheetId="7949" r:id="rId4"/>
    <sheet name="V-Tail" sheetId="7945" r:id="rId5"/>
    <sheet name="V-Tail CG" sheetId="7951" r:id="rId6"/>
    <sheet name="Quick V-Tail Sizing" sheetId="7944" r:id="rId7"/>
    <sheet name="Tail Sizing Checks" sheetId="7940" r:id="rId8"/>
    <sheet name="Credits" sheetId="7943" r:id="rId9"/>
    <sheet name="Glossary" sheetId="7952" r:id="rId10"/>
  </sheets>
  <definedNames>
    <definedName name="g" localSheetId="9">Glossary!#REF!</definedName>
  </definedNames>
  <calcPr calcId="191029"/>
</workbook>
</file>

<file path=xl/calcChain.xml><?xml version="1.0" encoding="utf-8"?>
<calcChain xmlns="http://schemas.openxmlformats.org/spreadsheetml/2006/main">
  <c r="D20" i="2" l="1"/>
  <c r="D26" i="2"/>
  <c r="D22" i="2" s="1"/>
  <c r="D23" i="2" s="1"/>
  <c r="C41" i="7949" s="1"/>
  <c r="D27" i="2"/>
  <c r="I17" i="2" s="1"/>
  <c r="C55" i="1"/>
  <c r="C56" i="1"/>
  <c r="H55" i="1"/>
  <c r="H56" i="1"/>
  <c r="L55" i="1"/>
  <c r="L56" i="1"/>
  <c r="C45" i="1"/>
  <c r="C23" i="7949"/>
  <c r="C21" i="7949"/>
  <c r="C17" i="7949"/>
  <c r="B18" i="7949"/>
  <c r="B21" i="7949"/>
  <c r="B17" i="7949"/>
  <c r="K10" i="1"/>
  <c r="C18" i="7951" s="1"/>
  <c r="C18" i="7949"/>
  <c r="K11" i="1"/>
  <c r="K12" i="1" s="1"/>
  <c r="J12" i="1"/>
  <c r="L12" i="1" s="1"/>
  <c r="J11" i="1"/>
  <c r="L9" i="1" s="1"/>
  <c r="L11" i="1"/>
  <c r="D19" i="7949" s="1"/>
  <c r="N12" i="1"/>
  <c r="F20" i="7949" s="1"/>
  <c r="L10" i="1"/>
  <c r="D18" i="7949" s="1"/>
  <c r="N10" i="1"/>
  <c r="F18" i="7949" s="1"/>
  <c r="N11" i="1"/>
  <c r="F19" i="7949" s="1"/>
  <c r="D63" i="2"/>
  <c r="D64" i="2"/>
  <c r="H63" i="2"/>
  <c r="H64" i="2"/>
  <c r="D56" i="2"/>
  <c r="F46" i="2"/>
  <c r="G45" i="2"/>
  <c r="F44" i="2"/>
  <c r="F45" i="2" s="1"/>
  <c r="G44" i="2"/>
  <c r="F42" i="2"/>
  <c r="G41" i="2"/>
  <c r="F40" i="2"/>
  <c r="F41" i="2" s="1"/>
  <c r="G40" i="2"/>
  <c r="H13" i="2"/>
  <c r="H14" i="2"/>
  <c r="I13" i="2"/>
  <c r="I14" i="2" s="1"/>
  <c r="I12" i="2"/>
  <c r="D15" i="7944"/>
  <c r="D16" i="7944" s="1"/>
  <c r="D14" i="7944"/>
  <c r="I31" i="7945"/>
  <c r="G25" i="7945" s="1"/>
  <c r="C14" i="7940"/>
  <c r="C19" i="7940" s="1"/>
  <c r="C15" i="7940"/>
  <c r="C20" i="7940" s="1"/>
  <c r="C16" i="7940"/>
  <c r="C21" i="7940" s="1"/>
  <c r="C17" i="7940"/>
  <c r="C22" i="7940" s="1"/>
  <c r="D29" i="7945"/>
  <c r="D25" i="7945" s="1"/>
  <c r="D24" i="7945" s="1"/>
  <c r="D30" i="7945"/>
  <c r="I16" i="7945" s="1"/>
  <c r="E41" i="1"/>
  <c r="G41" i="1"/>
  <c r="L38" i="1" s="1"/>
  <c r="H41" i="1"/>
  <c r="D23" i="7945"/>
  <c r="I12" i="7945"/>
  <c r="I13" i="7945" s="1"/>
  <c r="H13" i="7945"/>
  <c r="H12" i="7945"/>
  <c r="I11" i="7945"/>
  <c r="C23" i="7951"/>
  <c r="C21" i="7951"/>
  <c r="C17" i="7951"/>
  <c r="B18" i="7951"/>
  <c r="B21" i="7951"/>
  <c r="B17" i="7951"/>
  <c r="B20" i="7951"/>
  <c r="D19" i="7951"/>
  <c r="L37" i="1"/>
  <c r="K37" i="1"/>
  <c r="K38" i="1"/>
  <c r="K39" i="1" s="1"/>
  <c r="D24" i="7944" l="1"/>
  <c r="D25" i="7944" s="1"/>
  <c r="C48" i="7951"/>
  <c r="C49" i="7951" s="1"/>
  <c r="D31" i="7945"/>
  <c r="D58" i="2"/>
  <c r="D57" i="2" s="1"/>
  <c r="D59" i="2" s="1"/>
  <c r="D60" i="2" s="1"/>
  <c r="F49" i="2" s="1"/>
  <c r="B20" i="7949"/>
  <c r="F18" i="7951"/>
  <c r="D18" i="7951"/>
  <c r="F20" i="7951"/>
  <c r="L39" i="1"/>
  <c r="C19" i="7951"/>
  <c r="M9" i="1"/>
  <c r="E17" i="7949" s="1"/>
  <c r="C19" i="7949"/>
  <c r="C48" i="1"/>
  <c r="H46" i="1" s="1"/>
  <c r="C9" i="7940"/>
  <c r="D9" i="7940"/>
  <c r="D20" i="7951"/>
  <c r="D20" i="7949"/>
  <c r="M12" i="1"/>
  <c r="C20" i="7951"/>
  <c r="C20" i="7949"/>
  <c r="D17" i="7949"/>
  <c r="D17" i="7951"/>
  <c r="D21" i="2"/>
  <c r="D28" i="2" s="1"/>
  <c r="D29" i="2" s="1"/>
  <c r="B19" i="7951"/>
  <c r="D26" i="7945"/>
  <c r="C41" i="7951" s="1"/>
  <c r="N9" i="1"/>
  <c r="F19" i="7951"/>
  <c r="B19" i="7949"/>
  <c r="E17" i="7951" l="1"/>
  <c r="M10" i="1"/>
  <c r="E18" i="7951" s="1"/>
  <c r="C46" i="1"/>
  <c r="C47" i="1" s="1"/>
  <c r="C49" i="1"/>
  <c r="C42" i="7951" s="1"/>
  <c r="C44" i="7951" s="1"/>
  <c r="E20" i="7949"/>
  <c r="E20" i="7951"/>
  <c r="F17" i="7949"/>
  <c r="F17" i="7951"/>
  <c r="E18" i="7949" l="1"/>
  <c r="M11" i="1"/>
  <c r="E19" i="7949" s="1"/>
  <c r="O9" i="1"/>
  <c r="O10" i="1" s="1"/>
  <c r="C42" i="7949"/>
  <c r="C43" i="7949" s="1"/>
  <c r="C50" i="1"/>
  <c r="E36" i="7949" s="1"/>
  <c r="C43" i="7951"/>
  <c r="E19" i="7951" l="1"/>
  <c r="O12" i="1"/>
  <c r="G20" i="7951" s="1"/>
  <c r="C44" i="7949"/>
  <c r="G17" i="7951"/>
  <c r="G17" i="7949"/>
  <c r="C7" i="7940"/>
  <c r="D8" i="7940"/>
  <c r="D6" i="7940"/>
  <c r="C51" i="1"/>
  <c r="C40" i="7949" s="1"/>
  <c r="D7" i="7940"/>
  <c r="D37" i="7949"/>
  <c r="C6" i="7940"/>
  <c r="C8" i="7940"/>
  <c r="E36" i="7951"/>
  <c r="D37" i="7951"/>
  <c r="G18" i="7951"/>
  <c r="G18" i="7949"/>
  <c r="O11" i="1"/>
  <c r="C45" i="7949" l="1"/>
  <c r="C36" i="7949" s="1"/>
  <c r="C40" i="7951"/>
  <c r="C45" i="7951" s="1"/>
  <c r="E35" i="7951" s="1"/>
  <c r="D35" i="7951" s="1"/>
  <c r="G20" i="7949"/>
  <c r="G19" i="7949"/>
  <c r="G19" i="7951"/>
  <c r="C46" i="7949" l="1"/>
  <c r="C47" i="7949" s="1"/>
  <c r="C24" i="7949" s="1"/>
  <c r="C37" i="7949"/>
  <c r="E35" i="7949"/>
  <c r="D35" i="7949" s="1"/>
  <c r="E34" i="7949"/>
  <c r="D34" i="7949" s="1"/>
  <c r="C37" i="7951"/>
  <c r="E34" i="7951"/>
  <c r="D34" i="7951" s="1"/>
  <c r="C36" i="7951"/>
  <c r="C46" i="7951"/>
  <c r="C47" i="7951" s="1"/>
  <c r="C24" i="7951" s="1"/>
  <c r="C34" i="7949" l="1"/>
  <c r="C34" i="79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C11" authorId="0" shapeId="0" xr:uid="{00000000-0006-0000-0100-000001000000}">
      <text>
        <r>
          <rPr>
            <b/>
            <sz val="10"/>
            <color indexed="81"/>
            <rFont val="Tahoma"/>
            <family val="2"/>
          </rPr>
          <t>Measure from Root Leading Edge.</t>
        </r>
        <r>
          <rPr>
            <sz val="8"/>
            <color indexed="81"/>
            <rFont val="Tahoma"/>
          </rPr>
          <t xml:space="preserve">
</t>
        </r>
      </text>
    </comment>
    <comment ref="F11" authorId="0" shapeId="0" xr:uid="{00000000-0006-0000-0100-000002000000}">
      <text>
        <r>
          <rPr>
            <b/>
            <sz val="10"/>
            <color indexed="81"/>
            <rFont val="Tahoma"/>
            <family val="2"/>
          </rPr>
          <t>Measure from Root of this panel.</t>
        </r>
      </text>
    </comment>
    <comment ref="H12" authorId="0" shapeId="0" xr:uid="{00000000-0006-0000-0100-000003000000}">
      <text>
        <r>
          <rPr>
            <b/>
            <sz val="10"/>
            <color indexed="81"/>
            <rFont val="Tahoma"/>
            <family val="2"/>
          </rPr>
          <t>Measure from Root of this panel.</t>
        </r>
      </text>
    </comment>
    <comment ref="B20" authorId="0" shapeId="0" xr:uid="{00000000-0006-0000-0100-000004000000}">
      <text>
        <r>
          <rPr>
            <b/>
            <sz val="10"/>
            <color indexed="81"/>
            <rFont val="Tahoma"/>
            <family val="2"/>
          </rPr>
          <t xml:space="preserve">- Use this cell for V-Tail.
</t>
        </r>
      </text>
    </comment>
    <comment ref="H46" authorId="0" shapeId="0" xr:uid="{00000000-0006-0000-0100-000005000000}">
      <text>
        <r>
          <rPr>
            <b/>
            <sz val="10"/>
            <color indexed="81"/>
            <rFont val="Tahoma"/>
            <family val="2"/>
          </rPr>
          <t>Standard Day:
- 59 degrees Farenheit
- Sea Level Altitude
- Barometric Pressure 29.92 in hg</t>
        </r>
      </text>
    </comment>
    <comment ref="C50" authorId="0" shapeId="0" xr:uid="{00000000-0006-0000-0100-000006000000}">
      <text>
        <r>
          <rPr>
            <b/>
            <sz val="10"/>
            <color indexed="81"/>
            <rFont val="Tahoma"/>
            <family val="2"/>
          </rPr>
          <t>Measured aft from Leading edge at wing root.</t>
        </r>
      </text>
    </comment>
    <comment ref="C51" authorId="0" shapeId="0" xr:uid="{00000000-0006-0000-0100-000007000000}">
      <text>
        <r>
          <rPr>
            <b/>
            <sz val="10"/>
            <color indexed="81"/>
            <rFont val="Tahoma"/>
            <family val="2"/>
          </rPr>
          <t>Measured aft from Leading edge at wing root.</t>
        </r>
        <r>
          <rPr>
            <sz val="8"/>
            <color indexed="81"/>
            <rFont val="Tahoma"/>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C9" authorId="0" shapeId="0" xr:uid="{00000000-0006-0000-0200-000001000000}">
      <text>
        <r>
          <rPr>
            <b/>
            <sz val="8"/>
            <color indexed="81"/>
            <rFont val="Tahoma"/>
          </rPr>
          <t>Measured from root leading edge.</t>
        </r>
        <r>
          <rPr>
            <sz val="8"/>
            <color indexed="81"/>
            <rFont val="Tahoma"/>
          </rPr>
          <t xml:space="preserve">
</t>
        </r>
      </text>
    </comment>
    <comment ref="D27" authorId="0" shapeId="0" xr:uid="{00000000-0006-0000-0200-000002000000}">
      <text>
        <r>
          <rPr>
            <b/>
            <sz val="8"/>
            <color indexed="81"/>
            <rFont val="Tahoma"/>
          </rPr>
          <t>Measured aft from Leading edge at wing root.</t>
        </r>
        <r>
          <rPr>
            <sz val="8"/>
            <color indexed="81"/>
            <rFont val="Tahoma"/>
          </rPr>
          <t xml:space="preserve">
</t>
        </r>
      </text>
    </comment>
    <comment ref="D28" authorId="0" shapeId="0" xr:uid="{00000000-0006-0000-0200-000003000000}">
      <text>
        <r>
          <rPr>
            <b/>
            <sz val="8"/>
            <color indexed="81"/>
            <rFont val="Tahoma"/>
          </rPr>
          <t>Measured aft from Leading edge at wing root.</t>
        </r>
        <r>
          <rPr>
            <sz val="8"/>
            <color indexed="81"/>
            <rFont val="Tahoma"/>
          </rPr>
          <t xml:space="preserve">
</t>
        </r>
      </text>
    </comment>
    <comment ref="D29" authorId="0" shapeId="0" xr:uid="{00000000-0006-0000-0200-000004000000}">
      <text>
        <r>
          <rPr>
            <b/>
            <sz val="8"/>
            <color indexed="81"/>
            <rFont val="Tahoma"/>
          </rPr>
          <t>Measured aft from Leading edge at wing root.</t>
        </r>
        <r>
          <rPr>
            <sz val="8"/>
            <color indexed="81"/>
            <rFont val="Tahoma"/>
          </rPr>
          <t xml:space="preserve">
</t>
        </r>
      </text>
    </comment>
    <comment ref="D59" authorId="0" shapeId="0" xr:uid="{00000000-0006-0000-0200-000005000000}">
      <text>
        <r>
          <rPr>
            <b/>
            <sz val="8"/>
            <color indexed="81"/>
            <rFont val="Tahoma"/>
          </rPr>
          <t>Measured aft from Leading edge at wing root.</t>
        </r>
        <r>
          <rPr>
            <sz val="8"/>
            <color indexed="81"/>
            <rFont val="Tahoma"/>
          </rPr>
          <t xml:space="preserve">
</t>
        </r>
      </text>
    </comment>
    <comment ref="D60" authorId="0" shapeId="0" xr:uid="{00000000-0006-0000-0200-000006000000}">
      <text>
        <r>
          <rPr>
            <b/>
            <sz val="8"/>
            <color indexed="81"/>
            <rFont val="Tahoma"/>
          </rPr>
          <t>Measured aft from Leading edge at wing root.</t>
        </r>
        <r>
          <rPr>
            <sz val="8"/>
            <color indexed="81"/>
            <rFont val="Tahoma"/>
          </rPr>
          <t xml:space="preserve">
</t>
        </r>
      </text>
    </comment>
    <comment ref="D64" authorId="0" shapeId="0" xr:uid="{00000000-0006-0000-0200-000007000000}">
      <text>
        <r>
          <rPr>
            <b/>
            <sz val="8"/>
            <color indexed="81"/>
            <rFont val="Tahoma"/>
          </rPr>
          <t>Measured aft from Leading edge at wing root.</t>
        </r>
        <r>
          <rPr>
            <sz val="8"/>
            <color indexed="81"/>
            <rFont val="Tahoma"/>
          </rPr>
          <t xml:space="preserve">
</t>
        </r>
      </text>
    </comment>
    <comment ref="H64" authorId="0" shapeId="0" xr:uid="{00000000-0006-0000-0200-000008000000}">
      <text>
        <r>
          <rPr>
            <b/>
            <sz val="8"/>
            <color indexed="81"/>
            <rFont val="Tahoma"/>
          </rPr>
          <t>Measured aft from Leading edge at wing root.</t>
        </r>
        <r>
          <rPr>
            <sz val="8"/>
            <color indexed="81"/>
            <rFont val="Tahoma"/>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D30" authorId="0" shapeId="0" xr:uid="{00000000-0006-0000-0300-000001000000}">
      <text>
        <r>
          <rPr>
            <b/>
            <sz val="10"/>
            <color indexed="81"/>
            <rFont val="Tahoma"/>
            <family val="2"/>
          </rPr>
          <t>For a first flight of a model the red line, (neutral point) should NEVER be forward of the blue diamond, (CG).</t>
        </r>
      </text>
    </comment>
    <comment ref="B32" authorId="0" shapeId="0" xr:uid="{00000000-0006-0000-0300-000002000000}">
      <text>
        <r>
          <rPr>
            <b/>
            <sz val="10"/>
            <color indexed="81"/>
            <rFont val="Tahoma"/>
            <family val="2"/>
          </rPr>
          <t>Must be entered to determine a CG location.</t>
        </r>
      </text>
    </comment>
    <comment ref="C32" authorId="0" shapeId="0" xr:uid="{00000000-0006-0000-0300-000003000000}">
      <text>
        <r>
          <rPr>
            <b/>
            <sz val="10"/>
            <color indexed="81"/>
            <rFont val="Tahoma"/>
            <family val="2"/>
          </rPr>
          <t>This must be estimated: 
- Approximately 0.9 for a T-tail 
- Approximately 0.6 Cruciform tail</t>
        </r>
        <r>
          <rPr>
            <sz val="8"/>
            <color indexed="81"/>
            <rFont val="Tahoma"/>
          </rPr>
          <t xml:space="preserve">
</t>
        </r>
      </text>
    </comment>
    <comment ref="D34" authorId="0" shapeId="0" xr:uid="{00000000-0006-0000-0300-000004000000}">
      <text>
        <r>
          <rPr>
            <b/>
            <sz val="10"/>
            <color indexed="81"/>
            <rFont val="Tahoma"/>
            <family val="2"/>
          </rPr>
          <t xml:space="preserve">Measured aft from from Root Leading Edge.
This is the </t>
        </r>
        <r>
          <rPr>
            <b/>
            <sz val="10"/>
            <color indexed="10"/>
            <rFont val="Tahoma"/>
            <family val="2"/>
          </rPr>
          <t>RED</t>
        </r>
        <r>
          <rPr>
            <b/>
            <sz val="10"/>
            <color indexed="81"/>
            <rFont val="Tahoma"/>
            <family val="2"/>
          </rPr>
          <t xml:space="preserve"> dash.</t>
        </r>
      </text>
    </comment>
    <comment ref="D36" authorId="0" shapeId="0" xr:uid="{00000000-0006-0000-0300-000005000000}">
      <text>
        <r>
          <rPr>
            <b/>
            <sz val="10"/>
            <color indexed="81"/>
            <rFont val="Tahoma"/>
            <family val="2"/>
          </rPr>
          <t xml:space="preserve">Enter the known or suggested balance point, measured from the root leading edge of the wing aft.
This is the </t>
        </r>
        <r>
          <rPr>
            <b/>
            <sz val="10"/>
            <color indexed="12"/>
            <rFont val="Tahoma"/>
            <family val="2"/>
          </rPr>
          <t>BLUE</t>
        </r>
        <r>
          <rPr>
            <b/>
            <sz val="10"/>
            <color indexed="81"/>
            <rFont val="Tahoma"/>
            <family val="2"/>
          </rPr>
          <t xml:space="preserve"> diamond on the graph.</t>
        </r>
      </text>
    </comment>
    <comment ref="D37" authorId="0" shapeId="0" xr:uid="{00000000-0006-0000-0300-000006000000}">
      <text>
        <r>
          <rPr>
            <b/>
            <sz val="10"/>
            <color indexed="81"/>
            <rFont val="Tahoma"/>
            <family val="2"/>
          </rPr>
          <t>Measured aft from from Root Leading Edge.</t>
        </r>
        <r>
          <rPr>
            <sz val="8"/>
            <color indexed="81"/>
            <rFont val="Tahoma"/>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C8" authorId="0" shapeId="0" xr:uid="{00000000-0006-0000-0400-000001000000}">
      <text>
        <r>
          <rPr>
            <b/>
            <sz val="8"/>
            <color indexed="81"/>
            <rFont val="Tahoma"/>
          </rPr>
          <t>Measured from root leading edge.</t>
        </r>
        <r>
          <rPr>
            <sz val="8"/>
            <color indexed="81"/>
            <rFont val="Tahoma"/>
          </rPr>
          <t xml:space="preserve">
</t>
        </r>
      </text>
    </comment>
    <comment ref="G25" authorId="0" shapeId="0" xr:uid="{00000000-0006-0000-0400-000002000000}">
      <text>
        <r>
          <rPr>
            <b/>
            <sz val="8"/>
            <color indexed="81"/>
            <rFont val="Tahoma"/>
          </rPr>
          <t>Angle Between V's</t>
        </r>
        <r>
          <rPr>
            <sz val="8"/>
            <color indexed="81"/>
            <rFont val="Tahoma"/>
          </rPr>
          <t xml:space="preserve">
</t>
        </r>
      </text>
    </comment>
    <comment ref="D30" authorId="0" shapeId="0" xr:uid="{00000000-0006-0000-0400-000003000000}">
      <text>
        <r>
          <rPr>
            <b/>
            <sz val="8"/>
            <color indexed="81"/>
            <rFont val="Tahoma"/>
          </rPr>
          <t>Measured aft from Leading edge at wing root.</t>
        </r>
        <r>
          <rPr>
            <sz val="8"/>
            <color indexed="81"/>
            <rFont val="Tahoma"/>
          </rPr>
          <t xml:space="preserve">
</t>
        </r>
      </text>
    </comment>
    <comment ref="D31" authorId="0" shapeId="0" xr:uid="{00000000-0006-0000-0400-000004000000}">
      <text>
        <r>
          <rPr>
            <b/>
            <sz val="8"/>
            <color indexed="81"/>
            <rFont val="Tahoma"/>
          </rPr>
          <t>Measured aft from Leading edge at wing root.</t>
        </r>
        <r>
          <rPr>
            <sz val="8"/>
            <color indexed="81"/>
            <rFont val="Tahoma"/>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D30" authorId="0" shapeId="0" xr:uid="{00000000-0006-0000-0500-000001000000}">
      <text>
        <r>
          <rPr>
            <b/>
            <sz val="10"/>
            <color indexed="81"/>
            <rFont val="Tahoma"/>
            <family val="2"/>
          </rPr>
          <t>For a first flight of a model the red line, (neutral point) should NEVER be forward of the blue diamond, (CG).</t>
        </r>
      </text>
    </comment>
    <comment ref="B32" authorId="0" shapeId="0" xr:uid="{00000000-0006-0000-0500-000002000000}">
      <text>
        <r>
          <rPr>
            <b/>
            <sz val="10"/>
            <color indexed="81"/>
            <rFont val="Tahoma"/>
            <family val="2"/>
          </rPr>
          <t>Must be entered to determine a CG location.</t>
        </r>
      </text>
    </comment>
    <comment ref="C32" authorId="0" shapeId="0" xr:uid="{00000000-0006-0000-0500-000003000000}">
      <text>
        <r>
          <rPr>
            <b/>
            <sz val="10"/>
            <color indexed="81"/>
            <rFont val="Tahoma"/>
            <family val="2"/>
          </rPr>
          <t>This must be estimated: 
- Approximately 0.9 for a T-tail 
- Approximately 0.6 Cruciform tail</t>
        </r>
        <r>
          <rPr>
            <sz val="8"/>
            <color indexed="81"/>
            <rFont val="Tahoma"/>
          </rPr>
          <t xml:space="preserve">
</t>
        </r>
      </text>
    </comment>
    <comment ref="D34" authorId="0" shapeId="0" xr:uid="{00000000-0006-0000-0500-000004000000}">
      <text>
        <r>
          <rPr>
            <b/>
            <sz val="10"/>
            <color indexed="81"/>
            <rFont val="Tahoma"/>
            <family val="2"/>
          </rPr>
          <t xml:space="preserve">Measured aft from from Root Leading Edge.
This is the </t>
        </r>
        <r>
          <rPr>
            <b/>
            <sz val="10"/>
            <color indexed="10"/>
            <rFont val="Tahoma"/>
            <family val="2"/>
          </rPr>
          <t>RED</t>
        </r>
        <r>
          <rPr>
            <b/>
            <sz val="10"/>
            <color indexed="81"/>
            <rFont val="Tahoma"/>
            <family val="2"/>
          </rPr>
          <t xml:space="preserve"> dash.</t>
        </r>
      </text>
    </comment>
    <comment ref="D36" authorId="0" shapeId="0" xr:uid="{00000000-0006-0000-0500-000005000000}">
      <text>
        <r>
          <rPr>
            <b/>
            <sz val="10"/>
            <color indexed="81"/>
            <rFont val="Tahoma"/>
            <family val="2"/>
          </rPr>
          <t xml:space="preserve">Enter the known or suggested balance point, measured from the root leading edge of the wing aft.
This is the </t>
        </r>
        <r>
          <rPr>
            <b/>
            <sz val="10"/>
            <color indexed="12"/>
            <rFont val="Tahoma"/>
            <family val="2"/>
          </rPr>
          <t>BLUE</t>
        </r>
        <r>
          <rPr>
            <b/>
            <sz val="10"/>
            <color indexed="81"/>
            <rFont val="Tahoma"/>
            <family val="2"/>
          </rPr>
          <t xml:space="preserve"> diamond on the graph.</t>
        </r>
      </text>
    </comment>
    <comment ref="D37" authorId="0" shapeId="0" xr:uid="{00000000-0006-0000-0500-000006000000}">
      <text>
        <r>
          <rPr>
            <b/>
            <sz val="10"/>
            <color indexed="81"/>
            <rFont val="Tahoma"/>
            <family val="2"/>
          </rPr>
          <t>Measured aft from from Root Leading Edge.</t>
        </r>
        <r>
          <rPr>
            <sz val="8"/>
            <color indexed="81"/>
            <rFont val="Tahoma"/>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D11" authorId="0" shapeId="0" xr:uid="{00000000-0006-0000-0600-000001000000}">
      <text>
        <r>
          <rPr>
            <b/>
            <sz val="8"/>
            <color indexed="81"/>
            <rFont val="Tahoma"/>
          </rPr>
          <t xml:space="preserve">Use the area from the "Cruciform Tail" tab (Cell D21) or enter your own value. </t>
        </r>
        <r>
          <rPr>
            <sz val="8"/>
            <color indexed="81"/>
            <rFont val="Tahoma"/>
          </rPr>
          <t xml:space="preserve">
</t>
        </r>
      </text>
    </comment>
    <comment ref="D12" authorId="0" shapeId="0" xr:uid="{00000000-0006-0000-0600-000002000000}">
      <text>
        <r>
          <rPr>
            <b/>
            <sz val="8"/>
            <color indexed="81"/>
            <rFont val="Tahoma"/>
          </rPr>
          <t xml:space="preserve">Use the area from the "Cruciform Tail" tab  (Cell D57) or enter your own value. </t>
        </r>
        <r>
          <rPr>
            <sz val="8"/>
            <color indexed="81"/>
            <rFont val="Tahoma"/>
          </rPr>
          <t xml:space="preserve">
</t>
        </r>
      </text>
    </comment>
    <comment ref="D22" authorId="0" shapeId="0" xr:uid="{00000000-0006-0000-0600-000003000000}">
      <text>
        <r>
          <rPr>
            <b/>
            <sz val="8"/>
            <color indexed="81"/>
            <rFont val="Tahoma"/>
          </rPr>
          <t>Use the area from the "V-Tail" tab (Cell D29) or enter your own value.</t>
        </r>
      </text>
    </comment>
    <comment ref="C24" authorId="0" shapeId="0" xr:uid="{00000000-0006-0000-0600-000004000000}">
      <text>
        <r>
          <rPr>
            <b/>
            <sz val="8"/>
            <color indexed="81"/>
            <rFont val="Tahoma"/>
            <family val="2"/>
          </rPr>
          <t>This is the area for the entire horizontal stabilizer.
(stab and elevator)</t>
        </r>
      </text>
    </comment>
    <comment ref="D24" authorId="0" shapeId="0" xr:uid="{00000000-0006-0000-0600-000005000000}">
      <text>
        <r>
          <rPr>
            <b/>
            <sz val="8"/>
            <color indexed="81"/>
            <rFont val="Tahoma"/>
          </rPr>
          <t>Make sure the V-Tail Dihedral is entered on V-Tail tab.</t>
        </r>
        <r>
          <rPr>
            <sz val="8"/>
            <color indexed="81"/>
            <rFont val="Tahoma"/>
          </rPr>
          <t xml:space="preserve">
</t>
        </r>
      </text>
    </comment>
    <comment ref="C25" authorId="0" shapeId="0" xr:uid="{00000000-0006-0000-0600-000006000000}">
      <text>
        <r>
          <rPr>
            <b/>
            <sz val="8"/>
            <color indexed="81"/>
            <rFont val="Tahoma"/>
          </rPr>
          <t>This is the area for the entire vertical stabilizer.
(fin and rudder)</t>
        </r>
        <r>
          <rPr>
            <sz val="8"/>
            <color indexed="81"/>
            <rFont val="Tahoma"/>
          </rPr>
          <t xml:space="preserve">
</t>
        </r>
      </text>
    </comment>
    <comment ref="D25" authorId="0" shapeId="0" xr:uid="{00000000-0006-0000-0600-000007000000}">
      <text>
        <r>
          <rPr>
            <b/>
            <sz val="8"/>
            <color indexed="81"/>
            <rFont val="Tahoma"/>
          </rPr>
          <t>Make sure the V-Tail Dihedral is entered on V-Tail tab.</t>
        </r>
        <r>
          <rPr>
            <sz val="8"/>
            <color indexed="81"/>
            <rFont val="Tahoma"/>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Curtis Suter</author>
  </authors>
  <commentList>
    <comment ref="D4" authorId="0" shapeId="0" xr:uid="{00000000-0006-0000-0700-000001000000}">
      <text>
        <r>
          <rPr>
            <b/>
            <sz val="8"/>
            <color indexed="81"/>
            <rFont val="Tahoma"/>
          </rPr>
          <t xml:space="preserve">For these results to be calculated the "Quick V-Tail Sizing" tab must be completed to convert your V-Tail to a Conventional tail. </t>
        </r>
        <r>
          <rPr>
            <b/>
            <sz val="8"/>
            <color indexed="81"/>
            <rFont val="Tahoma"/>
          </rPr>
          <t xml:space="preserve">
Remember that a V-Tail has the exact same total area as a Cruiciform (Conventional) Tail.  </t>
        </r>
      </text>
    </comment>
    <comment ref="E6" authorId="0" shapeId="0" xr:uid="{00000000-0006-0000-0700-000002000000}">
      <text>
        <r>
          <rPr>
            <b/>
            <sz val="8"/>
            <color indexed="81"/>
            <rFont val="Tahoma"/>
          </rPr>
          <t>&gt;5 Stable
=5 Neutral
&lt;5 Unstable</t>
        </r>
        <r>
          <rPr>
            <sz val="8"/>
            <color indexed="81"/>
            <rFont val="Tahoma"/>
          </rPr>
          <t xml:space="preserve">
</t>
        </r>
        <r>
          <rPr>
            <b/>
            <sz val="8"/>
            <color indexed="81"/>
            <rFont val="Tahoma"/>
            <family val="2"/>
          </rPr>
          <t>Mark Drela Recommends:</t>
        </r>
        <r>
          <rPr>
            <sz val="8"/>
            <color indexed="81"/>
            <rFont val="Tahoma"/>
          </rPr>
          <t xml:space="preserve">
5.0 - 5.5 Poly Glider
&gt;3.0 Aileron TD Glider</t>
        </r>
      </text>
    </comment>
    <comment ref="E7" authorId="0" shapeId="0" xr:uid="{00000000-0006-0000-0700-000003000000}">
      <text>
        <r>
          <rPr>
            <b/>
            <sz val="8"/>
            <color indexed="81"/>
            <rFont val="Tahoma"/>
          </rPr>
          <t xml:space="preserve">Mark Drela Recommends:
</t>
        </r>
        <r>
          <rPr>
            <sz val="8"/>
            <color indexed="81"/>
            <rFont val="Tahoma"/>
            <family val="2"/>
          </rPr>
          <t>0.4 - 0.45 Polyhedral Glider
0.3 - 0.6 Aileron TD Glider</t>
        </r>
        <r>
          <rPr>
            <sz val="8"/>
            <color indexed="81"/>
            <rFont val="Tahoma"/>
          </rPr>
          <t xml:space="preserve">
</t>
        </r>
      </text>
    </comment>
    <comment ref="E8" authorId="0" shapeId="0" xr:uid="{00000000-0006-0000-0700-000004000000}">
      <text>
        <r>
          <rPr>
            <b/>
            <sz val="8"/>
            <color indexed="81"/>
            <rFont val="Tahoma"/>
            <family val="2"/>
          </rPr>
          <t>Mark Drela Recommends:</t>
        </r>
        <r>
          <rPr>
            <sz val="8"/>
            <color indexed="81"/>
            <rFont val="Tahoma"/>
          </rPr>
          <t xml:space="preserve">
&gt;0.03 Polyhedral Glider
&gt;0.025 Aileron TD Glider
0.05 - 0.06 Discus Launch Glider</t>
        </r>
      </text>
    </comment>
  </commentList>
</comments>
</file>

<file path=xl/sharedStrings.xml><?xml version="1.0" encoding="utf-8"?>
<sst xmlns="http://schemas.openxmlformats.org/spreadsheetml/2006/main" count="324" uniqueCount="191">
  <si>
    <t>Model Weight</t>
  </si>
  <si>
    <t>Sweepback</t>
  </si>
  <si>
    <t>Span</t>
  </si>
  <si>
    <t>Chord</t>
  </si>
  <si>
    <t>Root Chord</t>
  </si>
  <si>
    <t>1st Panel Chord</t>
  </si>
  <si>
    <t>Tip Chord</t>
  </si>
  <si>
    <t>1st Panel Span</t>
  </si>
  <si>
    <t>2nd Panel Span</t>
  </si>
  <si>
    <t>in.</t>
  </si>
  <si>
    <t>% MAC</t>
  </si>
  <si>
    <t>Panel 1 Results</t>
  </si>
  <si>
    <t>Panel 2 Results</t>
  </si>
  <si>
    <t xml:space="preserve">  Area (dS1)</t>
  </si>
  <si>
    <t>in.^2</t>
  </si>
  <si>
    <t xml:space="preserve">  Area (dS2)</t>
  </si>
  <si>
    <t xml:space="preserve">  25% MAC  (x1) from R.L.E.</t>
  </si>
  <si>
    <t xml:space="preserve">  Total Span</t>
  </si>
  <si>
    <t xml:space="preserve">  Total Area</t>
  </si>
  <si>
    <t xml:space="preserve">  Wing Loading</t>
  </si>
  <si>
    <t>oz./ft.^2</t>
  </si>
  <si>
    <t xml:space="preserve">  Mean Chord (area/span)</t>
  </si>
  <si>
    <t xml:space="preserve">  Location of 0% point</t>
  </si>
  <si>
    <t xml:space="preserve">  Location of 25% point</t>
  </si>
  <si>
    <t>eta0</t>
  </si>
  <si>
    <t>eta1</t>
  </si>
  <si>
    <t>eta2</t>
  </si>
  <si>
    <t>eta3</t>
  </si>
  <si>
    <t>f0</t>
  </si>
  <si>
    <t>f1</t>
  </si>
  <si>
    <t>f2</t>
  </si>
  <si>
    <t>f3</t>
  </si>
  <si>
    <t>b=</t>
  </si>
  <si>
    <t>Vh=</t>
  </si>
  <si>
    <t>Vv=</t>
  </si>
  <si>
    <t>eda=</t>
  </si>
  <si>
    <t>Seepback</t>
  </si>
  <si>
    <t>Wing Panel Span</t>
  </si>
  <si>
    <t>Center Chord</t>
  </si>
  <si>
    <t>Top Span</t>
  </si>
  <si>
    <t>Bottom Span</t>
  </si>
  <si>
    <t>Bottom Chord</t>
  </si>
  <si>
    <t>Top Chord</t>
  </si>
  <si>
    <t>Upper Panel Results</t>
  </si>
  <si>
    <t>Lower Panel Results</t>
  </si>
  <si>
    <t>2nd Panel Chord</t>
  </si>
  <si>
    <t>3rd Panel Span</t>
  </si>
  <si>
    <t>Panel 3 Results</t>
  </si>
  <si>
    <t xml:space="preserve">  Area (dS3)</t>
  </si>
  <si>
    <t xml:space="preserve">  25% MAC  (x2) from R.L.E.</t>
  </si>
  <si>
    <t xml:space="preserve">  25% MAC  (x3) from R.L.E.</t>
  </si>
  <si>
    <t xml:space="preserve">  Wing Aspect Ratio</t>
  </si>
  <si>
    <t xml:space="preserve">  Stabilizer Aspect Ratio</t>
  </si>
  <si>
    <t>Dihedral</t>
  </si>
  <si>
    <t xml:space="preserve">This is an assumed value of CL during slow thermalling.  </t>
  </si>
  <si>
    <t>CL Therm=</t>
  </si>
  <si>
    <t>Suggested Sizes</t>
  </si>
  <si>
    <t>Required Calculations, please ignore.</t>
  </si>
  <si>
    <t>Distance from Wing Trailing Edge to Stab Leading Edge</t>
  </si>
  <si>
    <t>Distance from Wing Trailing Edge to Fin Leading Edge</t>
  </si>
  <si>
    <t>Tail Sizing Checks</t>
  </si>
  <si>
    <t>Notes</t>
  </si>
  <si>
    <t>0.3 - 0.6</t>
  </si>
  <si>
    <t>0.7 big glider                                 0.6 DLG size</t>
  </si>
  <si>
    <t>0.02 - 0.04 Poly Glider      0.015 - 0.025 Aileron TD Glider</t>
  </si>
  <si>
    <t>4.0 - 6.0 Poly Glider              2.0 - 5.0 Aileron TD Glider</t>
  </si>
  <si>
    <t>12 Poly Glider                         6 Aileron TD Glider</t>
  </si>
  <si>
    <r>
      <t>Horizontal Tail Volume (pitch stability).</t>
    </r>
    <r>
      <rPr>
        <sz val="10"/>
        <rFont val="Arial"/>
        <family val="2"/>
      </rPr>
      <t xml:space="preserve">                             Affected by </t>
    </r>
    <r>
      <rPr>
        <i/>
        <sz val="10"/>
        <rFont val="Arial"/>
        <family val="2"/>
      </rPr>
      <t>Horizontal tail area</t>
    </r>
    <r>
      <rPr>
        <sz val="10"/>
        <rFont val="Arial"/>
        <family val="2"/>
      </rPr>
      <t xml:space="preserve"> on horizontal stab tab, </t>
    </r>
    <r>
      <rPr>
        <i/>
        <sz val="10"/>
        <rFont val="Arial"/>
        <family val="2"/>
      </rPr>
      <t>main wing area</t>
    </r>
    <r>
      <rPr>
        <sz val="10"/>
        <rFont val="Arial"/>
        <family val="2"/>
      </rPr>
      <t xml:space="preserve">, </t>
    </r>
    <r>
      <rPr>
        <i/>
        <sz val="10"/>
        <rFont val="Arial"/>
        <family val="2"/>
      </rPr>
      <t>Horizontal tail arm</t>
    </r>
    <r>
      <rPr>
        <sz val="10"/>
        <rFont val="Arial"/>
        <family val="2"/>
      </rPr>
      <t xml:space="preserve"> and </t>
    </r>
    <r>
      <rPr>
        <i/>
        <sz val="10"/>
        <rFont val="Arial"/>
        <family val="2"/>
      </rPr>
      <t>main wing chord</t>
    </r>
    <r>
      <rPr>
        <sz val="10"/>
        <rFont val="Arial"/>
        <family val="2"/>
      </rPr>
      <t xml:space="preserve"> on wing tab.</t>
    </r>
  </si>
  <si>
    <r>
      <t xml:space="preserve">Vertical Tail Volume (yaw damping and rudder power).  </t>
    </r>
    <r>
      <rPr>
        <sz val="10"/>
        <rFont val="Arial"/>
        <family val="2"/>
      </rPr>
      <t xml:space="preserve"> Affected by </t>
    </r>
    <r>
      <rPr>
        <i/>
        <sz val="10"/>
        <rFont val="Arial"/>
        <family val="2"/>
      </rPr>
      <t xml:space="preserve">Vertical tail area </t>
    </r>
    <r>
      <rPr>
        <sz val="10"/>
        <rFont val="Arial"/>
        <family val="2"/>
      </rPr>
      <t xml:space="preserve">on vertical stab tab, </t>
    </r>
    <r>
      <rPr>
        <i/>
        <sz val="10"/>
        <rFont val="Arial"/>
        <family val="2"/>
      </rPr>
      <t>main wing area</t>
    </r>
    <r>
      <rPr>
        <sz val="10"/>
        <rFont val="Arial"/>
        <family val="2"/>
      </rPr>
      <t xml:space="preserve">, </t>
    </r>
    <r>
      <rPr>
        <i/>
        <sz val="10"/>
        <rFont val="Arial"/>
        <family val="2"/>
      </rPr>
      <t>vertical tail arm</t>
    </r>
    <r>
      <rPr>
        <sz val="10"/>
        <rFont val="Arial"/>
        <family val="2"/>
      </rPr>
      <t xml:space="preserve"> and </t>
    </r>
    <r>
      <rPr>
        <i/>
        <sz val="10"/>
        <rFont val="Arial"/>
        <family val="2"/>
      </rPr>
      <t xml:space="preserve">main wing span </t>
    </r>
    <r>
      <rPr>
        <sz val="10"/>
        <rFont val="Arial"/>
        <family val="2"/>
      </rPr>
      <t>on wing tab.</t>
    </r>
  </si>
  <si>
    <t>Degrees</t>
  </si>
  <si>
    <t>Herk Stokely</t>
  </si>
  <si>
    <t>Martin Simons</t>
  </si>
  <si>
    <t>Mark Drela</t>
  </si>
  <si>
    <t>Wing Tab</t>
  </si>
  <si>
    <t>What does it do?</t>
  </si>
  <si>
    <t xml:space="preserve">  I've never met Herk in person but he helped me understand terms such as the Mean Aerodynamic Chord, Static Margin etc. Thanks so much to Herk for all his excellent knowledge and patience with my numerous questions.</t>
  </si>
  <si>
    <t xml:space="preserve">  Martin's book "Model Aircraft Aerodynamics" is a must read for any model airplane designer or wanting to understand more about aerodynamics.  This is where I obtained all the formulas for the spreadsheet except for the Tail Sizing Checks that I obtained from Mark Drela.</t>
  </si>
  <si>
    <t xml:space="preserve">  Mark wrote an article on Tail Sizing Checks and I used his formulas for this part of the spreadsheet. It can be found at: http://www.b2streamlines.com/ (Aug 2004 Issue), free for download thanks to Radio Controlled Soaring Digests.   </t>
  </si>
  <si>
    <t xml:space="preserve">  If trying to determine the proper sizing of a your tails, proper tail moments (lengths) or the proper dihedral angle all the tabs require completion.  Then change one design feature, such as tail moment of your model to see the effected changes.</t>
  </si>
  <si>
    <t>degrees</t>
  </si>
  <si>
    <t>sq in.</t>
  </si>
  <si>
    <t>V-tail</t>
  </si>
  <si>
    <t>Cruciform Tail</t>
  </si>
  <si>
    <t>Total V-Tail Results</t>
  </si>
  <si>
    <t>1/2 V-Tail Results</t>
  </si>
  <si>
    <t>Results</t>
  </si>
  <si>
    <t>Dihedral Angle between V's</t>
  </si>
  <si>
    <t>Quick V-Tail Sizing</t>
  </si>
  <si>
    <t xml:space="preserve"> - All measurements are in "Inches" and "Ounces".</t>
  </si>
  <si>
    <t xml:space="preserve"> - Fill in ALL the yellow rectangles.</t>
  </si>
  <si>
    <t>General Information</t>
  </si>
  <si>
    <t>Joe Hahn and Don Stackhouse</t>
  </si>
  <si>
    <t xml:space="preserve">  Total Horizontal Stabilizer Results</t>
  </si>
  <si>
    <t xml:space="preserve">                1/2 Stabilizer Results</t>
  </si>
  <si>
    <t xml:space="preserve">   Total Vertical Stabilizer Results</t>
  </si>
  <si>
    <t>Horizontal Stabilizer Area</t>
  </si>
  <si>
    <t>Vertical Stabilizer Area</t>
  </si>
  <si>
    <t>Dihedral angle from horizontal</t>
  </si>
  <si>
    <t>Cruciform Tail Tab</t>
  </si>
  <si>
    <t>V-Tail Tab</t>
  </si>
  <si>
    <t>Name</t>
  </si>
  <si>
    <t xml:space="preserve">  If you have a deep desire to aid in my model aircraft bank account, please send any amount of money to www.PayPal.com email suterc@runbox.com</t>
  </si>
  <si>
    <t xml:space="preserve"> - All that's required is a weight scale and ruler.</t>
  </si>
  <si>
    <t xml:space="preserve">  The information does not take into effect airfoils, spanwise flows, wing downwash, intersection drag etc.  However, this is a very good starting point for a new model or verifying manufacturer's supplied information.  </t>
  </si>
  <si>
    <r>
      <t>Spiral Stability.</t>
    </r>
    <r>
      <rPr>
        <sz val="10"/>
        <rFont val="Arial"/>
        <family val="2"/>
      </rPr>
      <t xml:space="preserve">                                                               Affected by </t>
    </r>
    <r>
      <rPr>
        <i/>
        <sz val="10"/>
        <rFont val="Arial"/>
        <family val="2"/>
      </rPr>
      <t>CL Therm</t>
    </r>
    <r>
      <rPr>
        <sz val="10"/>
        <rFont val="Arial"/>
        <family val="2"/>
      </rPr>
      <t xml:space="preserve"> and </t>
    </r>
    <r>
      <rPr>
        <i/>
        <sz val="10"/>
        <rFont val="Arial"/>
        <family val="2"/>
      </rPr>
      <t>EDA</t>
    </r>
    <r>
      <rPr>
        <sz val="10"/>
        <rFont val="Arial"/>
        <family val="2"/>
      </rPr>
      <t xml:space="preserve"> on this tab, </t>
    </r>
    <r>
      <rPr>
        <i/>
        <sz val="10"/>
        <rFont val="Arial"/>
        <family val="2"/>
      </rPr>
      <t>Vertical Tail Area</t>
    </r>
    <r>
      <rPr>
        <sz val="10"/>
        <rFont val="Arial"/>
        <family val="2"/>
      </rPr>
      <t xml:space="preserve"> on </t>
    </r>
    <r>
      <rPr>
        <i/>
        <sz val="10"/>
        <rFont val="Arial"/>
        <family val="2"/>
      </rPr>
      <t>Vertical Stab</t>
    </r>
    <r>
      <rPr>
        <sz val="10"/>
        <rFont val="Arial"/>
        <family val="2"/>
      </rPr>
      <t xml:space="preserve"> tab and </t>
    </r>
    <r>
      <rPr>
        <i/>
        <sz val="10"/>
        <rFont val="Arial"/>
        <family val="2"/>
      </rPr>
      <t>Vertical Stabilizer moment</t>
    </r>
    <r>
      <rPr>
        <sz val="10"/>
        <rFont val="Arial"/>
        <family val="2"/>
      </rPr>
      <t xml:space="preserve"> and </t>
    </r>
    <r>
      <rPr>
        <i/>
        <sz val="10"/>
        <rFont val="Arial"/>
        <family val="2"/>
      </rPr>
      <t>Main wing span</t>
    </r>
    <r>
      <rPr>
        <sz val="10"/>
        <rFont val="Arial"/>
        <family val="2"/>
      </rPr>
      <t xml:space="preserve"> on wing tab.</t>
    </r>
  </si>
  <si>
    <t xml:space="preserve">  Neutral Point (%MAC)</t>
  </si>
  <si>
    <t xml:space="preserve">  Neutral Point from R.L.E.</t>
  </si>
  <si>
    <t>percent</t>
  </si>
  <si>
    <t xml:space="preserve">  This is still a work in progress and I encourage constructive comments to improve this work.  Please email suterc@runbox.com</t>
  </si>
  <si>
    <r>
      <t xml:space="preserve">    Note:  </t>
    </r>
    <r>
      <rPr>
        <b/>
        <sz val="10"/>
        <color indexed="12"/>
        <rFont val="Arial"/>
        <family val="2"/>
      </rPr>
      <t>Blue</t>
    </r>
    <r>
      <rPr>
        <b/>
        <sz val="10"/>
        <rFont val="Arial"/>
        <family val="2"/>
      </rPr>
      <t xml:space="preserve"> diamond is 25% MAC point</t>
    </r>
  </si>
  <si>
    <r>
      <t xml:space="preserve">                  Note:  </t>
    </r>
    <r>
      <rPr>
        <b/>
        <sz val="10"/>
        <color indexed="12"/>
        <rFont val="Arial"/>
        <family val="2"/>
      </rPr>
      <t>Blue</t>
    </r>
    <r>
      <rPr>
        <b/>
        <sz val="10"/>
        <rFont val="Arial"/>
        <family val="2"/>
      </rPr>
      <t xml:space="preserve"> diamond is 25% MAC point</t>
    </r>
  </si>
  <si>
    <t xml:space="preserve">  As/Aw</t>
  </si>
  <si>
    <t xml:space="preserve">  Adjusted Lift Slope Wing (Aw)</t>
  </si>
  <si>
    <t xml:space="preserve">  Adjusted Lift Slope Stabilzer (As)</t>
  </si>
  <si>
    <t>Disclaimer</t>
  </si>
  <si>
    <t xml:space="preserve">  To determine a balance point (CG) for a first flight, 25-30 percent MAC or 5-10 percent static margin is generally accepted as a good starting point for a safe test flight.  Flight testing can then narrow the actual balance location by removing noseweight.  I personally prefer the dive test method for refining the balance location.</t>
  </si>
  <si>
    <t xml:space="preserve">  Neutral Point from R.T.E.</t>
  </si>
  <si>
    <t>Neutral Point (%MAC)</t>
  </si>
  <si>
    <t xml:space="preserve">  de/da</t>
  </si>
  <si>
    <t xml:space="preserve">  Tail Volume (Vs)</t>
  </si>
  <si>
    <t>Enter % MAC</t>
  </si>
  <si>
    <t>Stabilizer Efficiency</t>
  </si>
  <si>
    <t>Static Margin (%)</t>
  </si>
  <si>
    <t>Distance (inches)</t>
  </si>
  <si>
    <t>Enter actual CG from L.E.</t>
  </si>
  <si>
    <r>
      <t xml:space="preserve">Equivalent Dihedral Angle     </t>
    </r>
    <r>
      <rPr>
        <i/>
        <sz val="10"/>
        <rFont val="Arial"/>
        <family val="2"/>
      </rPr>
      <t xml:space="preserve">                                                 Main wing dihedral</t>
    </r>
    <r>
      <rPr>
        <sz val="10"/>
        <rFont val="Arial"/>
        <family val="2"/>
      </rPr>
      <t xml:space="preserve"> and </t>
    </r>
    <r>
      <rPr>
        <i/>
        <sz val="10"/>
        <rFont val="Arial"/>
        <family val="2"/>
      </rPr>
      <t xml:space="preserve">main wing span </t>
    </r>
    <r>
      <rPr>
        <sz val="10"/>
        <rFont val="Arial"/>
        <family val="2"/>
      </rPr>
      <t>on main wing tab.</t>
    </r>
  </si>
  <si>
    <t xml:space="preserve">  Reynolds Number</t>
  </si>
  <si>
    <t xml:space="preserve">  Estimated Speed </t>
  </si>
  <si>
    <t>mph</t>
  </si>
  <si>
    <t xml:space="preserve">  Result</t>
  </si>
  <si>
    <r>
      <t xml:space="preserve">Note:  </t>
    </r>
    <r>
      <rPr>
        <b/>
        <sz val="10"/>
        <color indexed="12"/>
        <rFont val="Arial"/>
        <family val="2"/>
      </rPr>
      <t>Blue</t>
    </r>
    <r>
      <rPr>
        <b/>
        <sz val="10"/>
        <rFont val="Arial"/>
        <family val="2"/>
      </rPr>
      <t xml:space="preserve"> diamond is %MAC specified in cell C35</t>
    </r>
  </si>
  <si>
    <r>
      <t xml:space="preserve">           </t>
    </r>
    <r>
      <rPr>
        <b/>
        <sz val="10"/>
        <color indexed="10"/>
        <rFont val="Arial"/>
        <family val="2"/>
      </rPr>
      <t>Red</t>
    </r>
    <r>
      <rPr>
        <b/>
        <sz val="10"/>
        <rFont val="Arial"/>
        <family val="2"/>
      </rPr>
      <t xml:space="preserve"> dash is Aircraft's Neutral Point in cell C34</t>
    </r>
  </si>
  <si>
    <t xml:space="preserve">  Aspect Ratio</t>
  </si>
  <si>
    <t>Area for one V half</t>
  </si>
  <si>
    <t>V-tail area for each V half</t>
  </si>
  <si>
    <t xml:space="preserve">  Horizontal Stabilizer Area</t>
  </si>
  <si>
    <t xml:space="preserve">  Vertical Stabilizer Area</t>
  </si>
  <si>
    <t>Cruciform Tail CG Tab</t>
  </si>
  <si>
    <t>V-Tail CG Tab</t>
  </si>
  <si>
    <t>Current Version April 2005.</t>
  </si>
  <si>
    <t xml:space="preserve">  This spreadsheet will calculate wing and vertical/horizontal tail areas and aspect ratios.  Design considerations for your tail length and tail sizes (areas), spans and recommended dihedral angles for a Polyhedral glider.  It'll calculate the percent Mean Aerodynamic Chord and Neutral Point to help determine a center of balance location for a first test flight.  Lastly, it'll convert a Conventional tail to a V-Tail and Vice Versa.</t>
  </si>
  <si>
    <t xml:space="preserve">  I originally started programming this spreadsheet because I crashed a new model on its first flight.  After determining the cause of the crash the manufacturer had calculated the balance point incorrectly, over 2" aft!  They submitted a change to the plans.  Now I can input simple measurements and determine where the neutral point is and thus where the center of balance should be.</t>
  </si>
  <si>
    <t xml:space="preserve">  With the sole use of this tab you can determine Wing Area, Wingspan, Wing Loading, Aspect Ratio, Mean Aerodynamic Chord and Reynolds Number.</t>
  </si>
  <si>
    <t>Others</t>
  </si>
  <si>
    <t xml:space="preserve">  I started this spreadsheet in the early 1990's as I got interested in sailplanes, I was previously a "wet" flyer.  As I trained for my full size fixed wing pilots certificate I found that I enjoyed the learning of the aerodynamics involved in what makes airplanes fly.  Reading Martin's book I thought it'd be nice to input this data for quick comparison between models.  It's grown into what you see today.  I have no training or formal education on aerodynamics or math, all I have done is take others knowledge and place their formulas into a spreadsheet.  </t>
  </si>
  <si>
    <t>Myself</t>
  </si>
  <si>
    <t>Curtis Suter, Designer.</t>
  </si>
  <si>
    <t>Credits</t>
  </si>
  <si>
    <t>Please read the credits tab.</t>
  </si>
  <si>
    <r>
      <t xml:space="preserve">  This tab is only required for use of the</t>
    </r>
    <r>
      <rPr>
        <i/>
        <sz val="10"/>
        <rFont val="Arial"/>
        <family val="2"/>
      </rPr>
      <t xml:space="preserve"> V-Tail CG,</t>
    </r>
    <r>
      <rPr>
        <sz val="10"/>
        <rFont val="Arial"/>
        <family val="2"/>
      </rPr>
      <t xml:space="preserve"> </t>
    </r>
    <r>
      <rPr>
        <i/>
        <sz val="10"/>
        <rFont val="Arial"/>
        <family val="2"/>
      </rPr>
      <t>Quick V-Tail Sizing</t>
    </r>
    <r>
      <rPr>
        <sz val="10"/>
        <rFont val="Arial"/>
        <family val="2"/>
      </rPr>
      <t xml:space="preserve"> and </t>
    </r>
    <r>
      <rPr>
        <i/>
        <sz val="10"/>
        <rFont val="Arial"/>
        <family val="2"/>
      </rPr>
      <t>Tail Sizing Checks</t>
    </r>
    <r>
      <rPr>
        <sz val="10"/>
        <rFont val="Arial"/>
        <family val="2"/>
      </rPr>
      <t xml:space="preserve"> Tab or if you'd like general information on your tails.</t>
    </r>
  </si>
  <si>
    <r>
      <t xml:space="preserve">  There are three sweep locations or panels for your use.  To determine how many panels look at the leading edge and use the number of sweepback breaks your wing has.  If your wing only has two breaks just enter zero's for the third panel.  You may ignore the dihedral data if not interested in values on the </t>
    </r>
    <r>
      <rPr>
        <i/>
        <sz val="10"/>
        <rFont val="Arial"/>
        <family val="2"/>
      </rPr>
      <t>Tail Sizing Checks</t>
    </r>
    <r>
      <rPr>
        <sz val="10"/>
        <rFont val="Arial"/>
        <family val="2"/>
      </rPr>
      <t xml:space="preserve"> Tab.</t>
    </r>
  </si>
  <si>
    <r>
      <t xml:space="preserve">  This tab is only required for use of the </t>
    </r>
    <r>
      <rPr>
        <i/>
        <sz val="10"/>
        <rFont val="Arial"/>
        <family val="2"/>
      </rPr>
      <t>Cruciform Tail CG,</t>
    </r>
    <r>
      <rPr>
        <sz val="10"/>
        <rFont val="Arial"/>
        <family val="2"/>
      </rPr>
      <t xml:space="preserve"> </t>
    </r>
    <r>
      <rPr>
        <i/>
        <sz val="10"/>
        <rFont val="Arial"/>
        <family val="2"/>
      </rPr>
      <t>Quick V-Tail Sizing</t>
    </r>
    <r>
      <rPr>
        <sz val="10"/>
        <rFont val="Arial"/>
        <family val="2"/>
      </rPr>
      <t xml:space="preserve"> and </t>
    </r>
    <r>
      <rPr>
        <i/>
        <sz val="10"/>
        <rFont val="Arial"/>
        <family val="2"/>
      </rPr>
      <t>Tail Sizing Checks</t>
    </r>
    <r>
      <rPr>
        <sz val="10"/>
        <rFont val="Arial"/>
        <family val="2"/>
      </rPr>
      <t xml:space="preserve"> Tab or if you'd like general information on your tails.</t>
    </r>
  </si>
  <si>
    <r>
      <t xml:space="preserve">  </t>
    </r>
    <r>
      <rPr>
        <b/>
        <sz val="10"/>
        <rFont val="Arial"/>
        <family val="2"/>
      </rPr>
      <t>Note:</t>
    </r>
    <r>
      <rPr>
        <sz val="10"/>
        <rFont val="Arial"/>
        <family val="2"/>
      </rPr>
      <t xml:space="preserve">  For the Neutral Point calculations to be accurate the </t>
    </r>
    <r>
      <rPr>
        <i/>
        <sz val="10"/>
        <rFont val="Arial"/>
        <family val="2"/>
      </rPr>
      <t xml:space="preserve">Wing </t>
    </r>
    <r>
      <rPr>
        <sz val="10"/>
        <rFont val="Arial"/>
        <family val="2"/>
      </rPr>
      <t xml:space="preserve">and </t>
    </r>
    <r>
      <rPr>
        <i/>
        <sz val="10"/>
        <rFont val="Arial"/>
        <family val="2"/>
      </rPr>
      <t>Cruciform Tail</t>
    </r>
    <r>
      <rPr>
        <sz val="10"/>
        <rFont val="Arial"/>
        <family val="2"/>
      </rPr>
      <t xml:space="preserve"> tab requires completion for the horiztonal stabilizer.</t>
    </r>
  </si>
  <si>
    <r>
      <t xml:space="preserve">  </t>
    </r>
    <r>
      <rPr>
        <b/>
        <sz val="10"/>
        <rFont val="Arial"/>
        <family val="2"/>
      </rPr>
      <t>Note:</t>
    </r>
    <r>
      <rPr>
        <sz val="10"/>
        <rFont val="Arial"/>
        <family val="2"/>
      </rPr>
      <t xml:space="preserve">  For the Neutral Point calculations to be accurate the </t>
    </r>
    <r>
      <rPr>
        <i/>
        <sz val="10"/>
        <rFont val="Arial"/>
        <family val="2"/>
      </rPr>
      <t>Wing</t>
    </r>
    <r>
      <rPr>
        <sz val="10"/>
        <rFont val="Arial"/>
        <family val="2"/>
      </rPr>
      <t xml:space="preserve"> and </t>
    </r>
    <r>
      <rPr>
        <i/>
        <sz val="10"/>
        <rFont val="Arial"/>
        <family val="2"/>
      </rPr>
      <t>V-Tail</t>
    </r>
    <r>
      <rPr>
        <sz val="10"/>
        <rFont val="Arial"/>
        <family val="2"/>
      </rPr>
      <t xml:space="preserve"> tab requires completing.</t>
    </r>
  </si>
  <si>
    <r>
      <t xml:space="preserve">  To convert a Conventional Tail to a V-Tail complete the </t>
    </r>
    <r>
      <rPr>
        <i/>
        <sz val="10"/>
        <rFont val="Arial"/>
        <family val="2"/>
      </rPr>
      <t>Cruciform Tail</t>
    </r>
    <r>
      <rPr>
        <sz val="10"/>
        <rFont val="Arial"/>
        <family val="2"/>
      </rPr>
      <t xml:space="preserve"> tab to get your vertical and horizontal tail areas or enter your own known values.</t>
    </r>
  </si>
  <si>
    <r>
      <t xml:space="preserve">  To convert a V-Tail to a Conventional Tail make sure the </t>
    </r>
    <r>
      <rPr>
        <i/>
        <sz val="10"/>
        <rFont val="Arial"/>
        <family val="2"/>
      </rPr>
      <t>V-Tail tab</t>
    </r>
    <r>
      <rPr>
        <sz val="10"/>
        <rFont val="Arial"/>
        <family val="2"/>
      </rPr>
      <t xml:space="preserve"> dihedral is completed.   </t>
    </r>
  </si>
  <si>
    <r>
      <t xml:space="preserve">  </t>
    </r>
    <r>
      <rPr>
        <i/>
        <sz val="10"/>
        <color indexed="8"/>
        <rFont val="Arial"/>
        <family val="2"/>
      </rPr>
      <t>Note from Mark Drela</t>
    </r>
    <r>
      <rPr>
        <b/>
        <sz val="10"/>
        <color indexed="8"/>
        <rFont val="Arial"/>
        <family val="2"/>
      </rPr>
      <t xml:space="preserve">: </t>
    </r>
    <r>
      <rPr>
        <sz val="10"/>
        <color indexed="8"/>
        <rFont val="Arial"/>
        <family val="2"/>
      </rPr>
      <t xml:space="preserve"> The formulas are strictly correct only for large tail aspect ratios, since they do not account for the local interference and lift cancellation at the V-tail roots during "yaw" or "rudder" application. But they are much better than guessing.</t>
    </r>
  </si>
  <si>
    <t xml:space="preserve">  For the Vertical Stabilizer use the top portion only unless your vertical has a top and bottom component as is popular in Discus Launch Gliders (DLG's).</t>
  </si>
  <si>
    <t>Enter Static Margin</t>
  </si>
  <si>
    <t xml:space="preserve"> - If you see a Red triangle in the upper right of a rectangle, hover your mouse over it to read the instruction.</t>
  </si>
  <si>
    <t>Reynolds' Number</t>
  </si>
  <si>
    <t>Wing Loading</t>
  </si>
  <si>
    <t xml:space="preserve">  The place on the glider where all aerodynamic forces may be assumed to act as a single force</t>
  </si>
  <si>
    <t xml:space="preserve">  A line connecting the leading edge to the trailing edge of a surface</t>
  </si>
  <si>
    <t xml:space="preserve">  The average chord length of the wing</t>
  </si>
  <si>
    <t xml:space="preserve">  A non-dimensional parameter which establishes relative viscous flow effects</t>
  </si>
  <si>
    <t>Polyhedral</t>
  </si>
  <si>
    <t xml:space="preserve">Area </t>
  </si>
  <si>
    <t xml:space="preserve">  The distance from wingtip to wingtip</t>
  </si>
  <si>
    <t>Mean Aerodynamic Chord (MAC)</t>
  </si>
  <si>
    <t>Center of Gravity (CG)</t>
  </si>
  <si>
    <t>Aspect Ratio (AR)</t>
  </si>
  <si>
    <t>Aerodynamic Center (AC)</t>
  </si>
  <si>
    <t>Static Margin (SM)</t>
  </si>
  <si>
    <t>Neutral Point (NP)</t>
  </si>
  <si>
    <t xml:space="preserve">   For modeling purposes, this is the point at which the glider balances fore and aft</t>
  </si>
  <si>
    <t xml:space="preserve">  The ratio of the span to the average chord</t>
  </si>
  <si>
    <t xml:space="preserve">  The total surface area of a wing, tail or fin</t>
  </si>
  <si>
    <t xml:space="preserve">  Polyhedral refers to the multiple angled wing panels.  A wing with polyhedral has more than two wing panels and the angle of the wing changes at each joint</t>
  </si>
  <si>
    <t xml:space="preserve">  The distance between the aerodynamic center and the center of gravity as measured in percent of the mean aerodynamic chord.  A measure of the amount of static stability possessed by a glider</t>
  </si>
  <si>
    <t xml:space="preserve">  This is the amount of gross weight that each square foot of wing must support in flight to provide lift, expressed as "ounces per square foot"</t>
  </si>
  <si>
    <t xml:space="preserve">  The degree of angle (V-shaped bend) when viewed from the front or rear</t>
  </si>
  <si>
    <t xml:space="preserve">    This is the aerodynamic center of the whole aircraft.  It's the position through which all net lift acts</t>
  </si>
  <si>
    <t xml:space="preserve">  Their website has a wealth of information where many aerodynamic explanations are available.  http://www.djaerotech.com/dj_askjd/</t>
  </si>
  <si>
    <t xml:space="preserve">  There are to many others to name that have answer my questions through the years.  Many have come from the internet newsgroups.  I highly recommend reading these groups and other periodicals as there is a wealth of information on the design and flying of R/C sailplanes.</t>
  </si>
  <si>
    <t>Glossary</t>
  </si>
  <si>
    <t xml:space="preserve">  </t>
  </si>
  <si>
    <t>Total Wing Results</t>
  </si>
  <si>
    <t xml:space="preserve">  To learn more about me visit http://h1.ripway.com/cloudyifr/index.html.  This website may change as the years pass.</t>
  </si>
  <si>
    <t xml:space="preserve">  Data out is only as accurate as data in.  This is not a thousand dollar program that takes into effect all of the complexities of flight in determining the results.  The use of these predictive values work well enough to build and fly a better model airplane.  It has proven to be quite accurate and is better than guessing.  However, further flight testing and trimming is required.  Before you change a manufacturer’s recommendation please consult someone who has flown the model and if it’s your own design, best of luck!  Please don't hesitate to email for questions, concerns or suggestions.  The author is not responsible for the loss of your model.  Email: suterc@msn.com</t>
  </si>
  <si>
    <t>This spreadsheet is FREE to use, pass it on to anyone or upload to the internet.  Please give credit to myself.  It'd be nice to hear from which website it's uploaded to.  Email suterc@msn.com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</si>
</sst>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_)"/>
    <numFmt numFmtId="165" formatCode="0.000_)"/>
    <numFmt numFmtId="166" formatCode="0.000"/>
    <numFmt numFmtId="167" formatCode="0.0"/>
  </numFmts>
  <fonts count="36" x14ac:knownFonts="1">
    <font>
      <sz val="10"/>
      <name val="Courier"/>
    </font>
    <font>
      <sz val="10"/>
      <name val="Arial"/>
    </font>
    <font>
      <sz val="10"/>
      <name val="Arial"/>
      <family val="2"/>
    </font>
    <font>
      <b/>
      <sz val="14"/>
      <color indexed="16"/>
      <name val="Arial"/>
      <family val="2"/>
    </font>
    <font>
      <sz val="10"/>
      <color indexed="39"/>
      <name val="Arial"/>
      <family val="2"/>
    </font>
    <font>
      <b/>
      <sz val="10"/>
      <color indexed="12"/>
      <name val="Arial"/>
      <family val="2"/>
    </font>
    <font>
      <sz val="10"/>
      <color indexed="12"/>
      <name val="Arial"/>
      <family val="2"/>
    </font>
    <font>
      <b/>
      <sz val="10"/>
      <name val="Arial"/>
      <family val="2"/>
    </font>
    <font>
      <b/>
      <sz val="12"/>
      <color indexed="12"/>
      <name val="Arial"/>
      <family val="2"/>
    </font>
    <font>
      <sz val="10"/>
      <color indexed="12"/>
      <name val="Courier"/>
    </font>
    <font>
      <sz val="10"/>
      <color indexed="10"/>
      <name val="Arial"/>
      <family val="2"/>
    </font>
    <font>
      <b/>
      <sz val="8"/>
      <color indexed="81"/>
      <name val="Tahoma"/>
    </font>
    <font>
      <b/>
      <sz val="14"/>
      <name val="Arial"/>
      <family val="2"/>
    </font>
    <font>
      <sz val="8"/>
      <color indexed="81"/>
      <name val="Tahoma"/>
    </font>
    <font>
      <sz val="9"/>
      <name val="Comic Sans MS"/>
      <family val="4"/>
    </font>
    <font>
      <sz val="9"/>
      <color indexed="10"/>
      <name val="Comic Sans MS"/>
      <family val="4"/>
    </font>
    <font>
      <sz val="9"/>
      <color indexed="12"/>
      <name val="Comic Sans MS"/>
      <family val="4"/>
    </font>
    <font>
      <b/>
      <sz val="9"/>
      <name val="Comic Sans MS"/>
      <family val="4"/>
    </font>
    <font>
      <sz val="10"/>
      <color indexed="8"/>
      <name val="Arial"/>
      <family val="2"/>
    </font>
    <font>
      <sz val="10"/>
      <color indexed="12"/>
      <name val="Arial"/>
    </font>
    <font>
      <b/>
      <sz val="10"/>
      <color indexed="81"/>
      <name val="Tahoma"/>
      <family val="2"/>
    </font>
    <font>
      <b/>
      <sz val="18"/>
      <color indexed="17"/>
      <name val="Arial"/>
      <family val="2"/>
    </font>
    <font>
      <i/>
      <sz val="10"/>
      <name val="Arial"/>
      <family val="2"/>
    </font>
    <font>
      <sz val="10"/>
      <name val="Comic Sans MS"/>
      <family val="4"/>
    </font>
    <font>
      <b/>
      <sz val="14"/>
      <color indexed="12"/>
      <name val="Arial"/>
      <family val="2"/>
    </font>
    <font>
      <b/>
      <sz val="18"/>
      <color indexed="48"/>
      <name val="Arial"/>
      <family val="2"/>
    </font>
    <font>
      <b/>
      <sz val="10"/>
      <color indexed="8"/>
      <name val="Arial"/>
      <family val="2"/>
    </font>
    <font>
      <b/>
      <sz val="10"/>
      <color indexed="10"/>
      <name val="Arial"/>
      <family val="2"/>
    </font>
    <font>
      <sz val="10"/>
      <color indexed="20"/>
      <name val="Arial"/>
      <family val="2"/>
    </font>
    <font>
      <b/>
      <sz val="10"/>
      <color indexed="12"/>
      <name val="Tahoma"/>
      <family val="2"/>
    </font>
    <font>
      <b/>
      <sz val="10"/>
      <color indexed="10"/>
      <name val="Tahoma"/>
      <family val="2"/>
    </font>
    <font>
      <b/>
      <sz val="8"/>
      <color indexed="81"/>
      <name val="Tahoma"/>
      <family val="2"/>
    </font>
    <font>
      <sz val="8"/>
      <color indexed="81"/>
      <name val="Tahoma"/>
      <family val="2"/>
    </font>
    <font>
      <sz val="7"/>
      <name val="Arial"/>
      <family val="2"/>
    </font>
    <font>
      <i/>
      <sz val="10"/>
      <color indexed="8"/>
      <name val="Arial"/>
      <family val="2"/>
    </font>
    <font>
      <sz val="14"/>
      <name val="Arial"/>
      <family val="2"/>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14">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double">
        <color indexed="64"/>
      </bottom>
      <diagonal/>
    </border>
    <border>
      <left/>
      <right style="thin">
        <color indexed="64"/>
      </right>
      <top/>
      <bottom style="thin">
        <color indexed="64"/>
      </bottom>
      <diagonal/>
    </border>
  </borders>
  <cellStyleXfs count="4">
    <xf numFmtId="164" fontId="0" fillId="0" borderId="0"/>
    <xf numFmtId="0" fontId="1" fillId="0" borderId="0"/>
    <xf numFmtId="0" fontId="1" fillId="0" borderId="0"/>
    <xf numFmtId="0" fontId="1" fillId="0" borderId="0"/>
  </cellStyleXfs>
  <cellXfs count="137">
    <xf numFmtId="164" fontId="0" fillId="0" borderId="0" xfId="0"/>
    <xf numFmtId="164" fontId="4" fillId="0" borderId="0" xfId="0" applyFont="1" applyAlignment="1">
      <alignment horizontal="left"/>
    </xf>
    <xf numFmtId="164" fontId="2" fillId="0" borderId="0" xfId="0" applyFont="1" applyAlignment="1">
      <alignment horizontal="left"/>
    </xf>
    <xf numFmtId="164" fontId="2" fillId="0" borderId="0" xfId="0" applyFont="1"/>
    <xf numFmtId="165" fontId="2" fillId="0" borderId="0" xfId="0" applyNumberFormat="1" applyFont="1"/>
    <xf numFmtId="164" fontId="12" fillId="0" borderId="0" xfId="0" applyFont="1"/>
    <xf numFmtId="0" fontId="14" fillId="0" borderId="0" xfId="2" applyFont="1"/>
    <xf numFmtId="0" fontId="14" fillId="0" borderId="0" xfId="2" applyFont="1" applyAlignment="1">
      <alignment horizontal="center"/>
    </xf>
    <xf numFmtId="164" fontId="14" fillId="0" borderId="0" xfId="2" applyNumberFormat="1" applyFont="1" applyAlignment="1">
      <alignment horizontal="center"/>
    </xf>
    <xf numFmtId="164" fontId="16" fillId="0" borderId="0" xfId="2" applyNumberFormat="1" applyFont="1" applyAlignment="1">
      <alignment horizontal="center"/>
    </xf>
    <xf numFmtId="0" fontId="16" fillId="0" borderId="0" xfId="2" applyFont="1" applyAlignment="1">
      <alignment horizontal="center"/>
    </xf>
    <xf numFmtId="0" fontId="17" fillId="0" borderId="0" xfId="2" applyFont="1" applyAlignment="1">
      <alignment horizontal="center"/>
    </xf>
    <xf numFmtId="164" fontId="15" fillId="0" borderId="0" xfId="2" applyNumberFormat="1" applyFont="1" applyAlignment="1">
      <alignment horizontal="center"/>
    </xf>
    <xf numFmtId="164" fontId="16" fillId="2" borderId="0" xfId="2" applyNumberFormat="1" applyFont="1" applyFill="1" applyAlignment="1">
      <alignment horizontal="center"/>
    </xf>
    <xf numFmtId="165" fontId="2" fillId="0" borderId="0" xfId="0" applyNumberFormat="1" applyFont="1" applyAlignment="1">
      <alignment horizontal="right"/>
    </xf>
    <xf numFmtId="0" fontId="15" fillId="0" borderId="0" xfId="2" applyFont="1"/>
    <xf numFmtId="164" fontId="3" fillId="0" borderId="0" xfId="0" applyFont="1" applyAlignment="1">
      <alignment horizontal="left"/>
    </xf>
    <xf numFmtId="0" fontId="6" fillId="0" borderId="0" xfId="3" applyFont="1"/>
    <xf numFmtId="164" fontId="19" fillId="0" borderId="0" xfId="3" applyNumberFormat="1" applyFont="1" applyAlignment="1">
      <alignment horizontal="left"/>
    </xf>
    <xf numFmtId="0" fontId="10" fillId="0" borderId="0" xfId="3" applyFont="1"/>
    <xf numFmtId="164" fontId="2" fillId="0" borderId="0" xfId="3" applyNumberFormat="1" applyFont="1" applyAlignment="1">
      <alignment horizontal="left"/>
    </xf>
    <xf numFmtId="2" fontId="2" fillId="0" borderId="0" xfId="3" applyNumberFormat="1" applyFont="1" applyAlignment="1">
      <alignment horizontal="right"/>
    </xf>
    <xf numFmtId="0" fontId="23" fillId="0" borderId="0" xfId="2" applyFont="1"/>
    <xf numFmtId="2" fontId="2" fillId="0" borderId="0" xfId="0" applyNumberFormat="1" applyFont="1"/>
    <xf numFmtId="2" fontId="2" fillId="0" borderId="0" xfId="0" applyNumberFormat="1" applyFont="1" applyAlignment="1">
      <alignment horizontal="right"/>
    </xf>
    <xf numFmtId="2" fontId="2" fillId="0" borderId="0" xfId="2" applyNumberFormat="1" applyFont="1"/>
    <xf numFmtId="164" fontId="25" fillId="0" borderId="0" xfId="0" applyFont="1" applyAlignment="1">
      <alignment horizontal="center"/>
    </xf>
    <xf numFmtId="164" fontId="2" fillId="0" borderId="0" xfId="0" applyFont="1" applyAlignment="1">
      <alignment horizontal="center"/>
    </xf>
    <xf numFmtId="164" fontId="6" fillId="0" borderId="0" xfId="0" applyFont="1" applyAlignment="1">
      <alignment horizontal="center"/>
    </xf>
    <xf numFmtId="164" fontId="2" fillId="0" borderId="1" xfId="0" applyFont="1" applyBorder="1"/>
    <xf numFmtId="164" fontId="6" fillId="0" borderId="2" xfId="0" applyFont="1" applyBorder="1" applyAlignment="1">
      <alignment horizontal="center"/>
    </xf>
    <xf numFmtId="164" fontId="7" fillId="0" borderId="0" xfId="0" applyFont="1"/>
    <xf numFmtId="164" fontId="2" fillId="0" borderId="0" xfId="0" applyFont="1" applyAlignment="1">
      <alignment horizontal="right"/>
    </xf>
    <xf numFmtId="167" fontId="2" fillId="0" borderId="0" xfId="0" applyNumberFormat="1" applyFont="1" applyAlignment="1">
      <alignment horizontal="center"/>
    </xf>
    <xf numFmtId="167" fontId="2" fillId="0" borderId="0" xfId="0" applyNumberFormat="1" applyFont="1"/>
    <xf numFmtId="164" fontId="0" fillId="0" borderId="0" xfId="0" applyAlignment="1">
      <alignment horizontal="center"/>
    </xf>
    <xf numFmtId="164" fontId="21" fillId="0" borderId="0" xfId="0" applyFont="1"/>
    <xf numFmtId="164" fontId="8" fillId="0" borderId="0" xfId="0" applyFont="1" applyAlignment="1">
      <alignment horizontal="left"/>
    </xf>
    <xf numFmtId="164" fontId="2" fillId="0" borderId="3" xfId="0" applyFont="1" applyBorder="1" applyAlignment="1">
      <alignment horizontal="center"/>
    </xf>
    <xf numFmtId="164" fontId="2" fillId="0" borderId="3" xfId="0" applyFont="1" applyBorder="1"/>
    <xf numFmtId="164" fontId="6" fillId="0" borderId="3" xfId="0" applyFont="1" applyBorder="1" applyAlignment="1">
      <alignment horizontal="center"/>
    </xf>
    <xf numFmtId="164" fontId="2" fillId="0" borderId="4" xfId="0" applyFont="1" applyBorder="1" applyAlignment="1">
      <alignment horizontal="center"/>
    </xf>
    <xf numFmtId="164" fontId="2" fillId="0" borderId="1" xfId="0" applyFont="1" applyBorder="1" applyAlignment="1">
      <alignment horizontal="center"/>
    </xf>
    <xf numFmtId="166" fontId="6" fillId="0" borderId="0" xfId="0" applyNumberFormat="1" applyFont="1"/>
    <xf numFmtId="164" fontId="7" fillId="0" borderId="0" xfId="0" applyFont="1" applyAlignment="1">
      <alignment horizontal="left"/>
    </xf>
    <xf numFmtId="164" fontId="9" fillId="0" borderId="0" xfId="3" applyNumberFormat="1" applyFont="1"/>
    <xf numFmtId="164" fontId="5" fillId="0" borderId="0" xfId="0" applyFont="1"/>
    <xf numFmtId="164" fontId="7" fillId="0" borderId="0" xfId="0" applyFont="1" applyAlignment="1">
      <alignment horizontal="center"/>
    </xf>
    <xf numFmtId="164" fontId="9" fillId="0" borderId="0" xfId="0" applyFont="1"/>
    <xf numFmtId="0" fontId="2" fillId="0" borderId="0" xfId="1" applyFont="1"/>
    <xf numFmtId="0" fontId="2" fillId="0" borderId="0" xfId="1" applyFont="1" applyAlignment="1">
      <alignment horizontal="center"/>
    </xf>
    <xf numFmtId="0" fontId="21" fillId="0" borderId="0" xfId="1" applyFont="1" applyAlignment="1">
      <alignment horizontal="center"/>
    </xf>
    <xf numFmtId="0" fontId="2" fillId="0" borderId="0" xfId="1" applyFont="1" applyAlignment="1">
      <alignment horizontal="left"/>
    </xf>
    <xf numFmtId="0" fontId="5" fillId="0" borderId="5" xfId="1" applyFont="1" applyBorder="1" applyAlignment="1">
      <alignment horizontal="center" vertical="center" wrapText="1"/>
    </xf>
    <xf numFmtId="0" fontId="5" fillId="0" borderId="6" xfId="1" applyFont="1" applyBorder="1" applyAlignment="1">
      <alignment horizontal="center" vertical="center"/>
    </xf>
    <xf numFmtId="0" fontId="7" fillId="0" borderId="0" xfId="1" applyFont="1" applyAlignment="1">
      <alignment horizontal="left"/>
    </xf>
    <xf numFmtId="0" fontId="7" fillId="0" borderId="0" xfId="1" applyFont="1" applyAlignment="1">
      <alignment horizontal="center"/>
    </xf>
    <xf numFmtId="0" fontId="7" fillId="0" borderId="7" xfId="1" applyFont="1" applyBorder="1" applyAlignment="1">
      <alignment horizontal="right" vertical="center" wrapText="1"/>
    </xf>
    <xf numFmtId="0" fontId="2" fillId="0" borderId="8" xfId="1" applyFont="1" applyBorder="1" applyAlignment="1">
      <alignment horizontal="left" vertical="center" wrapText="1"/>
    </xf>
    <xf numFmtId="0" fontId="2" fillId="0" borderId="0" xfId="1" applyFont="1" applyAlignment="1">
      <alignment horizontal="center" vertical="center" wrapText="1"/>
    </xf>
    <xf numFmtId="0" fontId="7" fillId="0" borderId="9" xfId="1" applyFont="1" applyBorder="1" applyAlignment="1">
      <alignment horizontal="right" vertical="center" wrapText="1"/>
    </xf>
    <xf numFmtId="2" fontId="2" fillId="0" borderId="10" xfId="1" applyNumberFormat="1" applyFont="1" applyBorder="1" applyAlignment="1">
      <alignment horizontal="center" vertical="center" wrapText="1"/>
    </xf>
    <xf numFmtId="0" fontId="2" fillId="0" borderId="11" xfId="1" applyFont="1" applyBorder="1" applyAlignment="1">
      <alignment horizontal="left" vertical="center" wrapText="1"/>
    </xf>
    <xf numFmtId="0" fontId="7" fillId="0" borderId="11" xfId="1" applyFont="1" applyBorder="1" applyAlignment="1">
      <alignment horizontal="left" vertical="center" wrapText="1"/>
    </xf>
    <xf numFmtId="2" fontId="2" fillId="0" borderId="0" xfId="1" applyNumberFormat="1" applyFont="1" applyAlignment="1">
      <alignment horizontal="left"/>
    </xf>
    <xf numFmtId="2" fontId="2" fillId="0" borderId="0" xfId="1" applyNumberFormat="1" applyFont="1" applyAlignment="1">
      <alignment horizontal="center"/>
    </xf>
    <xf numFmtId="2" fontId="18" fillId="0" borderId="10" xfId="1" applyNumberFormat="1" applyFont="1" applyBorder="1" applyAlignment="1">
      <alignment horizontal="center" vertical="center" wrapText="1"/>
    </xf>
    <xf numFmtId="0" fontId="7" fillId="0" borderId="0" xfId="1" applyFont="1" applyAlignment="1">
      <alignment horizontal="right" vertical="center" wrapText="1"/>
    </xf>
    <xf numFmtId="2" fontId="10" fillId="0" borderId="0" xfId="1" applyNumberFormat="1" applyFont="1" applyAlignment="1">
      <alignment horizontal="center" vertical="center" wrapText="1"/>
    </xf>
    <xf numFmtId="0" fontId="10" fillId="0" borderId="0" xfId="1" applyFont="1" applyAlignment="1">
      <alignment horizontal="left" vertical="center" wrapText="1"/>
    </xf>
    <xf numFmtId="0" fontId="2" fillId="0" borderId="0" xfId="1" applyFont="1" applyAlignment="1">
      <alignment horizontal="left" vertical="center" wrapText="1"/>
    </xf>
    <xf numFmtId="2" fontId="2" fillId="0" borderId="0" xfId="1" applyNumberFormat="1" applyFont="1" applyAlignment="1">
      <alignment horizontal="center" vertical="center" wrapText="1"/>
    </xf>
    <xf numFmtId="0" fontId="7" fillId="0" borderId="0" xfId="1" applyFont="1"/>
    <xf numFmtId="167" fontId="2" fillId="0" borderId="0" xfId="1" applyNumberFormat="1" applyFont="1" applyAlignment="1">
      <alignment horizontal="center"/>
    </xf>
    <xf numFmtId="164" fontId="8" fillId="0" borderId="0" xfId="0" applyFont="1" applyAlignment="1">
      <alignment horizontal="center"/>
    </xf>
    <xf numFmtId="164" fontId="5" fillId="0" borderId="0" xfId="0" applyFont="1" applyAlignment="1">
      <alignment horizontal="center"/>
    </xf>
    <xf numFmtId="164" fontId="26" fillId="0" borderId="0" xfId="0" applyFont="1"/>
    <xf numFmtId="164" fontId="2" fillId="0" borderId="0" xfId="0" applyFont="1" applyAlignment="1">
      <alignment vertical="center"/>
    </xf>
    <xf numFmtId="164" fontId="8" fillId="0" borderId="0" xfId="0" applyFont="1" applyAlignment="1">
      <alignment horizontal="center" vertical="center" wrapText="1"/>
    </xf>
    <xf numFmtId="2" fontId="2" fillId="0" borderId="0" xfId="0" applyNumberFormat="1" applyFont="1" applyAlignment="1">
      <alignment horizontal="right" vertical="center"/>
    </xf>
    <xf numFmtId="2" fontId="6" fillId="0" borderId="0" xfId="0" applyNumberFormat="1" applyFont="1" applyAlignment="1">
      <alignment horizontal="left" wrapText="1"/>
    </xf>
    <xf numFmtId="164" fontId="18" fillId="0" borderId="0" xfId="0" applyFont="1" applyAlignment="1">
      <alignment horizontal="left"/>
    </xf>
    <xf numFmtId="2" fontId="2" fillId="0" borderId="0" xfId="0" applyNumberFormat="1" applyFont="1" applyAlignment="1">
      <alignment horizontal="center"/>
    </xf>
    <xf numFmtId="164" fontId="18" fillId="0" borderId="0" xfId="0" applyFont="1"/>
    <xf numFmtId="164" fontId="8" fillId="0" borderId="0" xfId="0" applyFont="1"/>
    <xf numFmtId="164" fontId="6" fillId="0" borderId="0" xfId="0" applyFont="1"/>
    <xf numFmtId="164" fontId="2" fillId="0" borderId="0" xfId="0" applyFont="1" applyAlignment="1">
      <alignment horizontal="left" vertical="center"/>
    </xf>
    <xf numFmtId="164" fontId="10" fillId="0" borderId="0" xfId="0" applyFont="1"/>
    <xf numFmtId="0" fontId="5" fillId="0" borderId="12" xfId="1" applyFont="1" applyBorder="1" applyAlignment="1">
      <alignment horizontal="center" vertical="center" wrapText="1"/>
    </xf>
    <xf numFmtId="166" fontId="2" fillId="0" borderId="10" xfId="1" applyNumberFormat="1" applyFont="1" applyBorder="1" applyAlignment="1">
      <alignment horizontal="center" vertical="center" wrapText="1"/>
    </xf>
    <xf numFmtId="167" fontId="2" fillId="0" borderId="0" xfId="0" applyNumberFormat="1" applyFont="1" applyAlignment="1">
      <alignment horizontal="right"/>
    </xf>
    <xf numFmtId="164" fontId="27" fillId="0" borderId="0" xfId="0" applyFont="1"/>
    <xf numFmtId="164" fontId="28" fillId="0" borderId="0" xfId="0" applyFont="1"/>
    <xf numFmtId="2" fontId="6" fillId="0" borderId="0" xfId="0" applyNumberFormat="1" applyFont="1" applyAlignment="1">
      <alignment horizontal="center"/>
    </xf>
    <xf numFmtId="166" fontId="2" fillId="0" borderId="0" xfId="0" applyNumberFormat="1" applyFont="1" applyAlignment="1">
      <alignment horizontal="right"/>
    </xf>
    <xf numFmtId="2" fontId="10" fillId="0" borderId="0" xfId="0" applyNumberFormat="1" applyFont="1" applyAlignment="1">
      <alignment horizontal="center"/>
    </xf>
    <xf numFmtId="164" fontId="10" fillId="0" borderId="0" xfId="0" applyFont="1" applyAlignment="1">
      <alignment horizontal="center"/>
    </xf>
    <xf numFmtId="9" fontId="2" fillId="0" borderId="0" xfId="0" applyNumberFormat="1" applyFont="1" applyAlignment="1">
      <alignment horizontal="left"/>
    </xf>
    <xf numFmtId="2" fontId="10" fillId="0" borderId="0" xfId="0" applyNumberFormat="1" applyFont="1" applyAlignment="1">
      <alignment horizontal="right"/>
    </xf>
    <xf numFmtId="164" fontId="10" fillId="0" borderId="0" xfId="0" applyFont="1" applyAlignment="1">
      <alignment horizontal="left"/>
    </xf>
    <xf numFmtId="2" fontId="2" fillId="0" borderId="0" xfId="0" applyNumberFormat="1" applyFont="1" applyAlignment="1">
      <alignment horizontal="left"/>
    </xf>
    <xf numFmtId="164" fontId="6" fillId="0" borderId="0" xfId="0" applyFont="1" applyAlignment="1">
      <alignment horizontal="left"/>
    </xf>
    <xf numFmtId="164" fontId="5" fillId="0" borderId="0" xfId="0" applyFont="1" applyAlignment="1">
      <alignment horizontal="left"/>
    </xf>
    <xf numFmtId="1" fontId="2" fillId="0" borderId="0" xfId="0" applyNumberFormat="1" applyFont="1" applyAlignment="1">
      <alignment horizontal="center"/>
    </xf>
    <xf numFmtId="0" fontId="2" fillId="0" borderId="0" xfId="3" applyFont="1" applyAlignment="1">
      <alignment horizontal="right"/>
    </xf>
    <xf numFmtId="166" fontId="2" fillId="0" borderId="0" xfId="0" applyNumberFormat="1" applyFont="1" applyAlignment="1">
      <alignment horizontal="center"/>
    </xf>
    <xf numFmtId="0" fontId="2" fillId="0" borderId="0" xfId="0" applyNumberFormat="1" applyFont="1" applyAlignment="1">
      <alignment wrapText="1"/>
    </xf>
    <xf numFmtId="0" fontId="2" fillId="0" borderId="0" xfId="0" applyNumberFormat="1" applyFont="1" applyAlignment="1">
      <alignment vertical="top" wrapText="1"/>
    </xf>
    <xf numFmtId="0" fontId="7" fillId="0" borderId="0" xfId="0" applyNumberFormat="1" applyFont="1" applyAlignment="1">
      <alignment wrapText="1"/>
    </xf>
    <xf numFmtId="164" fontId="2" fillId="0" borderId="2" xfId="0" applyFont="1" applyBorder="1"/>
    <xf numFmtId="2" fontId="6" fillId="3" borderId="0" xfId="0" applyNumberFormat="1" applyFont="1" applyFill="1" applyAlignment="1" applyProtection="1">
      <alignment horizontal="center"/>
      <protection locked="0"/>
    </xf>
    <xf numFmtId="164" fontId="2" fillId="3" borderId="0" xfId="0" applyFont="1" applyFill="1" applyAlignment="1" applyProtection="1">
      <alignment horizontal="center"/>
      <protection locked="0"/>
    </xf>
    <xf numFmtId="164" fontId="2" fillId="3" borderId="3" xfId="0" applyFont="1" applyFill="1" applyBorder="1" applyAlignment="1" applyProtection="1">
      <alignment horizontal="center"/>
      <protection locked="0"/>
    </xf>
    <xf numFmtId="2" fontId="2" fillId="3" borderId="0" xfId="0" applyNumberFormat="1" applyFont="1" applyFill="1" applyAlignment="1" applyProtection="1">
      <alignment horizontal="center"/>
      <protection locked="0"/>
    </xf>
    <xf numFmtId="167" fontId="2" fillId="3" borderId="0" xfId="0" applyNumberFormat="1" applyFont="1" applyFill="1" applyAlignment="1" applyProtection="1">
      <alignment horizontal="center"/>
      <protection locked="0"/>
    </xf>
    <xf numFmtId="0" fontId="2" fillId="3" borderId="13" xfId="1" applyFont="1" applyFill="1" applyBorder="1" applyAlignment="1" applyProtection="1">
      <alignment horizontal="center" vertical="center" wrapText="1"/>
      <protection locked="0"/>
    </xf>
    <xf numFmtId="1" fontId="2" fillId="3" borderId="0" xfId="0" applyNumberFormat="1" applyFont="1" applyFill="1" applyAlignment="1" applyProtection="1">
      <alignment horizontal="center"/>
      <protection locked="0"/>
    </xf>
    <xf numFmtId="0" fontId="33" fillId="0" borderId="0" xfId="0" applyNumberFormat="1" applyFont="1" applyAlignment="1">
      <alignment horizontal="left" wrapText="1"/>
    </xf>
    <xf numFmtId="0" fontId="7" fillId="0" borderId="0" xfId="0" applyNumberFormat="1" applyFont="1"/>
    <xf numFmtId="164" fontId="18" fillId="0" borderId="0" xfId="0" applyFont="1" applyAlignment="1">
      <alignment wrapText="1"/>
    </xf>
    <xf numFmtId="49" fontId="2" fillId="0" borderId="0" xfId="0" applyNumberFormat="1" applyFont="1" applyAlignment="1">
      <alignment wrapText="1"/>
    </xf>
    <xf numFmtId="0" fontId="2" fillId="0" borderId="0" xfId="0" applyNumberFormat="1" applyFont="1" applyAlignment="1">
      <alignment vertical="center" wrapText="1"/>
    </xf>
    <xf numFmtId="0" fontId="2" fillId="0" borderId="0" xfId="0" applyNumberFormat="1" applyFont="1" applyAlignment="1">
      <alignment horizontal="left" wrapText="1"/>
    </xf>
    <xf numFmtId="164" fontId="7" fillId="2" borderId="0" xfId="0" applyFont="1" applyFill="1" applyAlignment="1">
      <alignment wrapText="1"/>
    </xf>
    <xf numFmtId="164" fontId="2" fillId="2" borderId="0" xfId="0" applyFont="1" applyFill="1" applyAlignment="1">
      <alignment wrapText="1"/>
    </xf>
    <xf numFmtId="164" fontId="2" fillId="0" borderId="0" xfId="0" applyFont="1" applyAlignment="1">
      <alignment wrapText="1"/>
    </xf>
    <xf numFmtId="164" fontId="6" fillId="0" borderId="0" xfId="0" applyFont="1" applyAlignment="1">
      <alignment horizontal="left" wrapText="1"/>
    </xf>
    <xf numFmtId="164" fontId="2" fillId="0" borderId="0" xfId="0" applyFont="1" applyAlignment="1">
      <alignment wrapText="1"/>
    </xf>
    <xf numFmtId="164" fontId="5" fillId="0" borderId="0" xfId="0" applyFont="1" applyAlignment="1">
      <alignment horizontal="center"/>
    </xf>
    <xf numFmtId="164" fontId="2" fillId="0" borderId="0" xfId="0" applyFont="1" applyAlignment="1">
      <alignment horizontal="center"/>
    </xf>
    <xf numFmtId="164" fontId="24" fillId="0" borderId="0" xfId="0" applyFont="1" applyAlignment="1">
      <alignment horizontal="center"/>
    </xf>
    <xf numFmtId="164" fontId="35" fillId="0" borderId="0" xfId="0" applyFont="1" applyAlignment="1">
      <alignment horizontal="center"/>
    </xf>
    <xf numFmtId="164" fontId="8" fillId="0" borderId="0" xfId="0" applyFont="1" applyAlignment="1">
      <alignment horizontal="center"/>
    </xf>
    <xf numFmtId="164" fontId="0" fillId="0" borderId="0" xfId="0" applyAlignment="1">
      <alignment horizontal="center"/>
    </xf>
    <xf numFmtId="164" fontId="5" fillId="0" borderId="0" xfId="0" applyFont="1" applyAlignment="1">
      <alignment horizontal="left"/>
    </xf>
    <xf numFmtId="164" fontId="9" fillId="0" borderId="0" xfId="0" applyFont="1" applyAlignment="1">
      <alignment horizontal="left"/>
    </xf>
    <xf numFmtId="164" fontId="9" fillId="0" borderId="0" xfId="0" applyFont="1"/>
  </cellXfs>
  <cellStyles count="4">
    <cellStyle name="Normal_Book1" xfId="1" xr:uid="{00000000-0005-0000-0000-000000000000}"/>
    <cellStyle name="Normal_Flying" xfId="2" xr:uid="{00000000-0005-0000-0000-000001000000}"/>
    <cellStyle name="Normal_SAILBAL" xfId="3" xr:uid="{00000000-0005-0000-0000-000002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50" b="1" i="0" u="none" strike="noStrike" baseline="0">
                <a:solidFill>
                  <a:srgbClr val="0000FF"/>
                </a:solidFill>
                <a:latin typeface="Comic Sans MS"/>
                <a:ea typeface="Comic Sans MS"/>
                <a:cs typeface="Comic Sans MS"/>
              </a:defRPr>
            </a:pPr>
            <a:r>
              <a:rPr lang="pl-PL"/>
              <a:t>Does your wing look like this?</a:t>
            </a:r>
          </a:p>
        </c:rich>
      </c:tx>
      <c:layout>
        <c:manualLayout>
          <c:xMode val="edge"/>
          <c:yMode val="edge"/>
          <c:x val="0.25241430310001972"/>
          <c:y val="2.2284122562674095E-2"/>
        </c:manualLayout>
      </c:layout>
      <c:overlay val="0"/>
      <c:spPr>
        <a:noFill/>
        <a:ln w="25400">
          <a:noFill/>
        </a:ln>
      </c:spPr>
    </c:title>
    <c:autoTitleDeleted val="0"/>
    <c:plotArea>
      <c:layout>
        <c:manualLayout>
          <c:layoutTarget val="inner"/>
          <c:xMode val="edge"/>
          <c:yMode val="edge"/>
          <c:x val="0.11172436366722187"/>
          <c:y val="0.17270194986072424"/>
          <c:w val="0.84551894972848152"/>
          <c:h val="0.59888579387186625"/>
        </c:manualLayout>
      </c:layout>
      <c:scatterChart>
        <c:scatterStyle val="lineMarker"/>
        <c:varyColors val="0"/>
        <c:ser>
          <c:idx val="0"/>
          <c:order val="0"/>
          <c:spPr>
            <a:ln w="38100">
              <a:solidFill>
                <a:srgbClr val="800000"/>
              </a:solidFill>
              <a:prstDash val="solid"/>
            </a:ln>
          </c:spPr>
          <c:marker>
            <c:symbol val="none"/>
          </c:marker>
          <c:xVal>
            <c:numRef>
              <c:f>Wing!$J$9:$J$13</c:f>
              <c:numCache>
                <c:formatCode>General_)</c:formatCode>
                <c:ptCount val="5"/>
                <c:pt idx="0">
                  <c:v>0</c:v>
                </c:pt>
                <c:pt idx="1">
                  <c:v>0</c:v>
                </c:pt>
                <c:pt idx="2">
                  <c:v>191</c:v>
                </c:pt>
                <c:pt idx="3">
                  <c:v>191</c:v>
                </c:pt>
                <c:pt idx="4">
                  <c:v>0</c:v>
                </c:pt>
              </c:numCache>
            </c:numRef>
          </c:xVal>
          <c:yVal>
            <c:numRef>
              <c:f>Wing!$K$9:$K$13</c:f>
              <c:numCache>
                <c:formatCode>General_)</c:formatCode>
                <c:ptCount val="5"/>
                <c:pt idx="0">
                  <c:v>0</c:v>
                </c:pt>
                <c:pt idx="1">
                  <c:v>50</c:v>
                </c:pt>
                <c:pt idx="2">
                  <c:v>41</c:v>
                </c:pt>
                <c:pt idx="3">
                  <c:v>21</c:v>
                </c:pt>
                <c:pt idx="4">
                  <c:v>0</c:v>
                </c:pt>
              </c:numCache>
            </c:numRef>
          </c:yVal>
          <c:smooth val="0"/>
          <c:extLst>
            <c:ext xmlns:c16="http://schemas.microsoft.com/office/drawing/2014/chart" uri="{C3380CC4-5D6E-409C-BE32-E72D297353CC}">
              <c16:uniqueId val="{00000000-4BFF-4958-997C-1982CF52D8DA}"/>
            </c:ext>
          </c:extLst>
        </c:ser>
        <c:ser>
          <c:idx val="1"/>
          <c:order val="1"/>
          <c:spPr>
            <a:ln w="38100">
              <a:solidFill>
                <a:srgbClr val="800000"/>
              </a:solidFill>
              <a:prstDash val="solid"/>
            </a:ln>
          </c:spPr>
          <c:marker>
            <c:symbol val="none"/>
          </c:marker>
          <c:xVal>
            <c:numRef>
              <c:f>Wing!$L$9:$L$12</c:f>
              <c:numCache>
                <c:formatCode>General_)</c:formatCode>
                <c:ptCount val="4"/>
                <c:pt idx="0">
                  <c:v>191</c:v>
                </c:pt>
                <c:pt idx="1">
                  <c:v>191</c:v>
                </c:pt>
                <c:pt idx="2">
                  <c:v>191</c:v>
                </c:pt>
                <c:pt idx="3">
                  <c:v>191</c:v>
                </c:pt>
              </c:numCache>
            </c:numRef>
          </c:xVal>
          <c:yVal>
            <c:numRef>
              <c:f>Wing!$M$9:$M$12</c:f>
              <c:numCache>
                <c:formatCode>General_)</c:formatCode>
                <c:ptCount val="4"/>
                <c:pt idx="0">
                  <c:v>41</c:v>
                </c:pt>
                <c:pt idx="1">
                  <c:v>41</c:v>
                </c:pt>
                <c:pt idx="2">
                  <c:v>41</c:v>
                </c:pt>
                <c:pt idx="3">
                  <c:v>21</c:v>
                </c:pt>
              </c:numCache>
            </c:numRef>
          </c:yVal>
          <c:smooth val="0"/>
          <c:extLst>
            <c:ext xmlns:c16="http://schemas.microsoft.com/office/drawing/2014/chart" uri="{C3380CC4-5D6E-409C-BE32-E72D297353CC}">
              <c16:uniqueId val="{00000001-4BFF-4958-997C-1982CF52D8DA}"/>
            </c:ext>
          </c:extLst>
        </c:ser>
        <c:ser>
          <c:idx val="2"/>
          <c:order val="2"/>
          <c:spPr>
            <a:ln w="38100">
              <a:solidFill>
                <a:srgbClr val="800000"/>
              </a:solidFill>
              <a:prstDash val="solid"/>
            </a:ln>
          </c:spPr>
          <c:marker>
            <c:symbol val="none"/>
          </c:marker>
          <c:xVal>
            <c:numRef>
              <c:f>Wing!$N$9:$N$12</c:f>
              <c:numCache>
                <c:formatCode>General_)</c:formatCode>
                <c:ptCount val="4"/>
                <c:pt idx="0">
                  <c:v>191</c:v>
                </c:pt>
                <c:pt idx="1">
                  <c:v>191</c:v>
                </c:pt>
                <c:pt idx="2">
                  <c:v>191</c:v>
                </c:pt>
                <c:pt idx="3">
                  <c:v>191</c:v>
                </c:pt>
              </c:numCache>
            </c:numRef>
          </c:xVal>
          <c:yVal>
            <c:numRef>
              <c:f>Wing!$O$9:$O$12</c:f>
              <c:numCache>
                <c:formatCode>General_)</c:formatCode>
                <c:ptCount val="4"/>
                <c:pt idx="0">
                  <c:v>41</c:v>
                </c:pt>
                <c:pt idx="1">
                  <c:v>41</c:v>
                </c:pt>
                <c:pt idx="2">
                  <c:v>41</c:v>
                </c:pt>
                <c:pt idx="3">
                  <c:v>41</c:v>
                </c:pt>
              </c:numCache>
            </c:numRef>
          </c:yVal>
          <c:smooth val="0"/>
          <c:extLst>
            <c:ext xmlns:c16="http://schemas.microsoft.com/office/drawing/2014/chart" uri="{C3380CC4-5D6E-409C-BE32-E72D297353CC}">
              <c16:uniqueId val="{00000002-4BFF-4958-997C-1982CF52D8DA}"/>
            </c:ext>
          </c:extLst>
        </c:ser>
        <c:ser>
          <c:idx val="3"/>
          <c:order val="3"/>
          <c:spPr>
            <a:ln w="12700">
              <a:solidFill>
                <a:srgbClr val="800000"/>
              </a:solidFill>
              <a:prstDash val="solid"/>
            </a:ln>
          </c:spPr>
          <c:marker>
            <c:symbol val="diamond"/>
            <c:size val="8"/>
            <c:spPr>
              <a:solidFill>
                <a:srgbClr val="0000FF"/>
              </a:solidFill>
              <a:ln>
                <a:solidFill>
                  <a:srgbClr val="0000FF"/>
                </a:solidFill>
                <a:prstDash val="solid"/>
              </a:ln>
            </c:spPr>
          </c:marker>
          <c:xVal>
            <c:numRef>
              <c:f>Wing!$J$15</c:f>
              <c:numCache>
                <c:formatCode>General_)</c:formatCode>
                <c:ptCount val="1"/>
              </c:numCache>
            </c:numRef>
          </c:xVal>
          <c:yVal>
            <c:numRef>
              <c:f>Wing!$K$15</c:f>
              <c:numCache>
                <c:formatCode>0.00</c:formatCode>
                <c:ptCount val="1"/>
              </c:numCache>
            </c:numRef>
          </c:yVal>
          <c:smooth val="0"/>
          <c:extLst>
            <c:ext xmlns:c16="http://schemas.microsoft.com/office/drawing/2014/chart" uri="{C3380CC4-5D6E-409C-BE32-E72D297353CC}">
              <c16:uniqueId val="{00000003-4BFF-4958-997C-1982CF52D8DA}"/>
            </c:ext>
          </c:extLst>
        </c:ser>
        <c:ser>
          <c:idx val="4"/>
          <c:order val="4"/>
          <c:spPr>
            <a:ln w="12700">
              <a:solidFill>
                <a:srgbClr val="800080"/>
              </a:solidFill>
              <a:prstDash val="solid"/>
            </a:ln>
          </c:spPr>
          <c:marker>
            <c:symbol val="dash"/>
            <c:size val="9"/>
            <c:spPr>
              <a:solidFill>
                <a:srgbClr val="FF0000"/>
              </a:solidFill>
              <a:ln>
                <a:solidFill>
                  <a:srgbClr val="FF0000"/>
                </a:solidFill>
                <a:prstDash val="solid"/>
              </a:ln>
            </c:spPr>
          </c:marker>
          <c:xVal>
            <c:numLit>
              <c:formatCode>General</c:formatCode>
              <c:ptCount val="1"/>
              <c:pt idx="0">
                <c:v>0</c:v>
              </c:pt>
            </c:numLit>
          </c:xVal>
          <c:yVal>
            <c:numRef>
              <c:f>Wing!$K$16</c:f>
              <c:numCache>
                <c:formatCode>0.00</c:formatCode>
                <c:ptCount val="1"/>
              </c:numCache>
            </c:numRef>
          </c:yVal>
          <c:smooth val="0"/>
          <c:extLst>
            <c:ext xmlns:c16="http://schemas.microsoft.com/office/drawing/2014/chart" uri="{C3380CC4-5D6E-409C-BE32-E72D297353CC}">
              <c16:uniqueId val="{00000004-4BFF-4958-997C-1982CF52D8DA}"/>
            </c:ext>
          </c:extLst>
        </c:ser>
        <c:dLbls>
          <c:showLegendKey val="0"/>
          <c:showVal val="0"/>
          <c:showCatName val="0"/>
          <c:showSerName val="0"/>
          <c:showPercent val="0"/>
          <c:showBubbleSize val="0"/>
        </c:dLbls>
        <c:axId val="451080472"/>
        <c:axId val="1"/>
      </c:scatterChart>
      <c:valAx>
        <c:axId val="451080472"/>
        <c:scaling>
          <c:orientation val="minMax"/>
        </c:scaling>
        <c:delete val="0"/>
        <c:axPos val="b"/>
        <c:majorGridlines>
          <c:spPr>
            <a:ln w="3175">
              <a:solidFill>
                <a:srgbClr val="969696"/>
              </a:solidFill>
              <a:prstDash val="solid"/>
            </a:ln>
          </c:spPr>
        </c:majorGridlines>
        <c:title>
          <c:tx>
            <c:rich>
              <a:bodyPr/>
              <a:lstStyle/>
              <a:p>
                <a:pPr>
                  <a:defRPr sz="975" b="1" i="0" u="none" strike="noStrike" baseline="0">
                    <a:solidFill>
                      <a:srgbClr val="000000"/>
                    </a:solidFill>
                    <a:latin typeface="Arial"/>
                    <a:ea typeface="Arial"/>
                    <a:cs typeface="Arial"/>
                  </a:defRPr>
                </a:pPr>
                <a:r>
                  <a:rPr lang="pl-PL"/>
                  <a:t>Inches</a:t>
                </a:r>
              </a:p>
            </c:rich>
          </c:tx>
          <c:layout>
            <c:manualLayout>
              <c:xMode val="edge"/>
              <c:yMode val="edge"/>
              <c:x val="0.49517341427818073"/>
              <c:y val="0.85793871866295257"/>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
        <c:crosses val="autoZero"/>
        <c:crossBetween val="midCat"/>
      </c:valAx>
      <c:valAx>
        <c:axId val="1"/>
        <c:scaling>
          <c:orientation val="minMax"/>
        </c:scaling>
        <c:delete val="0"/>
        <c:axPos val="l"/>
        <c:majorGridlines>
          <c:spPr>
            <a:ln w="3175">
              <a:solidFill>
                <a:srgbClr val="969696"/>
              </a:solidFill>
              <a:prstDash val="solid"/>
            </a:ln>
          </c:spPr>
        </c:majorGridlines>
        <c:title>
          <c:tx>
            <c:rich>
              <a:bodyPr/>
              <a:lstStyle/>
              <a:p>
                <a:pPr>
                  <a:defRPr sz="975" b="1" i="0" u="none" strike="noStrike" baseline="0">
                    <a:solidFill>
                      <a:srgbClr val="000000"/>
                    </a:solidFill>
                    <a:latin typeface="Arial"/>
                    <a:ea typeface="Arial"/>
                    <a:cs typeface="Arial"/>
                  </a:defRPr>
                </a:pPr>
                <a:r>
                  <a:rPr lang="pl-PL"/>
                  <a:t>Inches</a:t>
                </a:r>
              </a:p>
            </c:rich>
          </c:tx>
          <c:layout>
            <c:manualLayout>
              <c:xMode val="edge"/>
              <c:yMode val="edge"/>
              <c:x val="3.034488889727013E-2"/>
              <c:y val="0.39275766016713093"/>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45108047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FF"/>
                </a:solidFill>
                <a:latin typeface="Arial"/>
                <a:ea typeface="Arial"/>
                <a:cs typeface="Arial"/>
              </a:defRPr>
            </a:pPr>
            <a:r>
              <a:rPr lang="pl-PL"/>
              <a:t>Does your Dihedral Look like this?</a:t>
            </a:r>
          </a:p>
        </c:rich>
      </c:tx>
      <c:layout>
        <c:manualLayout>
          <c:xMode val="edge"/>
          <c:yMode val="edge"/>
          <c:x val="0.28346506644273184"/>
          <c:y val="4.7619301356876885E-2"/>
        </c:manualLayout>
      </c:layout>
      <c:overlay val="0"/>
      <c:spPr>
        <a:noFill/>
        <a:ln w="25400">
          <a:noFill/>
        </a:ln>
      </c:spPr>
    </c:title>
    <c:autoTitleDeleted val="0"/>
    <c:plotArea>
      <c:layout>
        <c:manualLayout>
          <c:layoutTarget val="inner"/>
          <c:xMode val="edge"/>
          <c:yMode val="edge"/>
          <c:x val="0.10367472337488805"/>
          <c:y val="0.23015995655823823"/>
          <c:w val="0.85433221413990013"/>
          <c:h val="0.44444681266418423"/>
        </c:manualLayout>
      </c:layout>
      <c:scatterChart>
        <c:scatterStyle val="lineMarker"/>
        <c:varyColors val="0"/>
        <c:ser>
          <c:idx val="0"/>
          <c:order val="0"/>
          <c:spPr>
            <a:ln w="38100">
              <a:solidFill>
                <a:srgbClr val="800000"/>
              </a:solidFill>
              <a:prstDash val="solid"/>
            </a:ln>
          </c:spPr>
          <c:marker>
            <c:symbol val="none"/>
          </c:marker>
          <c:xVal>
            <c:numRef>
              <c:f>Wing!$K$36:$K$39</c:f>
              <c:numCache>
                <c:formatCode>General_)</c:formatCode>
                <c:ptCount val="4"/>
                <c:pt idx="0">
                  <c:v>0</c:v>
                </c:pt>
                <c:pt idx="1">
                  <c:v>191</c:v>
                </c:pt>
                <c:pt idx="2">
                  <c:v>191</c:v>
                </c:pt>
                <c:pt idx="3">
                  <c:v>191</c:v>
                </c:pt>
              </c:numCache>
            </c:numRef>
          </c:xVal>
          <c:yVal>
            <c:numRef>
              <c:f>Wing!$L$36:$L$39</c:f>
              <c:numCache>
                <c:formatCode>General_)</c:formatCode>
                <c:ptCount val="4"/>
                <c:pt idx="0">
                  <c:v>0</c:v>
                </c:pt>
                <c:pt idx="1">
                  <c:v>12.4</c:v>
                </c:pt>
                <c:pt idx="2">
                  <c:v>12.4</c:v>
                </c:pt>
                <c:pt idx="3">
                  <c:v>12.4</c:v>
                </c:pt>
              </c:numCache>
            </c:numRef>
          </c:yVal>
          <c:smooth val="0"/>
          <c:extLst>
            <c:ext xmlns:c16="http://schemas.microsoft.com/office/drawing/2014/chart" uri="{C3380CC4-5D6E-409C-BE32-E72D297353CC}">
              <c16:uniqueId val="{00000000-FD92-436B-8A01-6DFFF14BF4CC}"/>
            </c:ext>
          </c:extLst>
        </c:ser>
        <c:dLbls>
          <c:showLegendKey val="0"/>
          <c:showVal val="0"/>
          <c:showCatName val="0"/>
          <c:showSerName val="0"/>
          <c:showPercent val="0"/>
          <c:showBubbleSize val="0"/>
        </c:dLbls>
        <c:axId val="451367432"/>
        <c:axId val="1"/>
      </c:scatterChart>
      <c:valAx>
        <c:axId val="451367432"/>
        <c:scaling>
          <c:orientation val="minMax"/>
        </c:scaling>
        <c:delete val="0"/>
        <c:axPos val="b"/>
        <c:title>
          <c:tx>
            <c:rich>
              <a:bodyPr/>
              <a:lstStyle/>
              <a:p>
                <a:pPr>
                  <a:defRPr sz="1125" b="1" i="0" u="none" strike="noStrike" baseline="0">
                    <a:solidFill>
                      <a:srgbClr val="000000"/>
                    </a:solidFill>
                    <a:latin typeface="Arial"/>
                    <a:ea typeface="Arial"/>
                    <a:cs typeface="Arial"/>
                  </a:defRPr>
                </a:pPr>
                <a:r>
                  <a:rPr lang="pl-PL"/>
                  <a:t>Inches</a:t>
                </a:r>
              </a:p>
            </c:rich>
          </c:tx>
          <c:layout>
            <c:manualLayout>
              <c:xMode val="edge"/>
              <c:yMode val="edge"/>
              <c:x val="0.48556516011023509"/>
              <c:y val="0.8134963981799801"/>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pl-PL"/>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125" b="1" i="0" u="none" strike="noStrike" baseline="0">
                    <a:solidFill>
                      <a:srgbClr val="000000"/>
                    </a:solidFill>
                    <a:latin typeface="Arial"/>
                    <a:ea typeface="Arial"/>
                    <a:cs typeface="Arial"/>
                  </a:defRPr>
                </a:pPr>
                <a:r>
                  <a:rPr lang="pl-PL"/>
                  <a:t>Inches</a:t>
                </a:r>
              </a:p>
            </c:rich>
          </c:tx>
          <c:layout>
            <c:manualLayout>
              <c:xMode val="edge"/>
              <c:yMode val="edge"/>
              <c:x val="1.5748059246818439E-2"/>
              <c:y val="0.31746200904584587"/>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pl-PL"/>
          </a:p>
        </c:txPr>
        <c:crossAx val="451367432"/>
        <c:crosses val="autoZero"/>
        <c:crossBetween val="midCat"/>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FF"/>
                </a:solidFill>
                <a:latin typeface="Comic Sans MS"/>
                <a:ea typeface="Comic Sans MS"/>
                <a:cs typeface="Comic Sans MS"/>
              </a:defRPr>
            </a:pPr>
            <a:r>
              <a:rPr lang="pl-PL"/>
              <a:t>Does your Horizontal look like this?</a:t>
            </a:r>
          </a:p>
        </c:rich>
      </c:tx>
      <c:layout>
        <c:manualLayout>
          <c:xMode val="edge"/>
          <c:yMode val="edge"/>
          <c:x val="0.17437015035455611"/>
          <c:y val="2.9411843903962717E-2"/>
        </c:manualLayout>
      </c:layout>
      <c:overlay val="0"/>
      <c:spPr>
        <a:noFill/>
        <a:ln w="25400">
          <a:noFill/>
        </a:ln>
      </c:spPr>
    </c:title>
    <c:autoTitleDeleted val="0"/>
    <c:plotArea>
      <c:layout>
        <c:manualLayout>
          <c:layoutTarget val="inner"/>
          <c:xMode val="edge"/>
          <c:yMode val="edge"/>
          <c:x val="0.13025240146966843"/>
          <c:y val="0.22794179025571107"/>
          <c:w val="0.80672455103794638"/>
          <c:h val="0.51470726831934754"/>
        </c:manualLayout>
      </c:layout>
      <c:scatterChart>
        <c:scatterStyle val="lineMarker"/>
        <c:varyColors val="0"/>
        <c:ser>
          <c:idx val="0"/>
          <c:order val="0"/>
          <c:spPr>
            <a:ln w="25400">
              <a:solidFill>
                <a:srgbClr val="800000"/>
              </a:solidFill>
              <a:prstDash val="solid"/>
            </a:ln>
          </c:spPr>
          <c:marker>
            <c:symbol val="none"/>
          </c:marker>
          <c:xVal>
            <c:numRef>
              <c:f>'Cruiciform Tail'!$H$11:$H$15</c:f>
              <c:numCache>
                <c:formatCode>General_)</c:formatCode>
                <c:ptCount val="5"/>
                <c:pt idx="0">
                  <c:v>0</c:v>
                </c:pt>
                <c:pt idx="1">
                  <c:v>0</c:v>
                </c:pt>
                <c:pt idx="2">
                  <c:v>48</c:v>
                </c:pt>
                <c:pt idx="3">
                  <c:v>48</c:v>
                </c:pt>
                <c:pt idx="4">
                  <c:v>0</c:v>
                </c:pt>
              </c:numCache>
            </c:numRef>
          </c:xVal>
          <c:yVal>
            <c:numRef>
              <c:f>'Cruiciform Tail'!$I$11:$I$15</c:f>
              <c:numCache>
                <c:formatCode>General_)</c:formatCode>
                <c:ptCount val="5"/>
                <c:pt idx="0">
                  <c:v>0</c:v>
                </c:pt>
                <c:pt idx="1">
                  <c:v>29</c:v>
                </c:pt>
                <c:pt idx="2">
                  <c:v>20.5</c:v>
                </c:pt>
                <c:pt idx="3">
                  <c:v>4.5</c:v>
                </c:pt>
                <c:pt idx="4">
                  <c:v>0</c:v>
                </c:pt>
              </c:numCache>
            </c:numRef>
          </c:yVal>
          <c:smooth val="0"/>
          <c:extLst>
            <c:ext xmlns:c16="http://schemas.microsoft.com/office/drawing/2014/chart" uri="{C3380CC4-5D6E-409C-BE32-E72D297353CC}">
              <c16:uniqueId val="{00000000-0CBE-47A2-A55B-1423A83518FD}"/>
            </c:ext>
          </c:extLst>
        </c:ser>
        <c:ser>
          <c:idx val="1"/>
          <c:order val="1"/>
          <c:spPr>
            <a:ln w="19050">
              <a:noFill/>
            </a:ln>
          </c:spPr>
          <c:marker>
            <c:symbol val="diamond"/>
            <c:size val="6"/>
            <c:spPr>
              <a:solidFill>
                <a:srgbClr val="0000FF"/>
              </a:solidFill>
              <a:ln>
                <a:solidFill>
                  <a:srgbClr val="0000FF"/>
                </a:solidFill>
                <a:prstDash val="solid"/>
              </a:ln>
            </c:spPr>
          </c:marker>
          <c:xVal>
            <c:numRef>
              <c:f>'Cruiciform Tail'!$H$17</c:f>
              <c:numCache>
                <c:formatCode>General_)</c:formatCode>
                <c:ptCount val="1"/>
                <c:pt idx="0">
                  <c:v>0</c:v>
                </c:pt>
              </c:numCache>
            </c:numRef>
          </c:xVal>
          <c:yVal>
            <c:numRef>
              <c:f>'Cruiciform Tail'!$I$17</c:f>
              <c:numCache>
                <c:formatCode>General_)</c:formatCode>
                <c:ptCount val="1"/>
                <c:pt idx="0">
                  <c:v>19.377777777777776</c:v>
                </c:pt>
              </c:numCache>
            </c:numRef>
          </c:yVal>
          <c:smooth val="0"/>
          <c:extLst>
            <c:ext xmlns:c16="http://schemas.microsoft.com/office/drawing/2014/chart" uri="{C3380CC4-5D6E-409C-BE32-E72D297353CC}">
              <c16:uniqueId val="{00000001-0CBE-47A2-A55B-1423A83518FD}"/>
            </c:ext>
          </c:extLst>
        </c:ser>
        <c:dLbls>
          <c:showLegendKey val="0"/>
          <c:showVal val="0"/>
          <c:showCatName val="0"/>
          <c:showSerName val="0"/>
          <c:showPercent val="0"/>
          <c:showBubbleSize val="0"/>
        </c:dLbls>
        <c:axId val="450612096"/>
        <c:axId val="1"/>
      </c:scatterChart>
      <c:valAx>
        <c:axId val="450612096"/>
        <c:scaling>
          <c:orientation val="minMax"/>
        </c:scaling>
        <c:delete val="0"/>
        <c:axPos val="b"/>
        <c:majorGridlines>
          <c:spPr>
            <a:ln w="12700">
              <a:solidFill>
                <a:srgbClr val="969696"/>
              </a:solidFill>
              <a:prstDash val="solid"/>
            </a:ln>
          </c:spPr>
        </c:majorGridlines>
        <c:title>
          <c:tx>
            <c:rich>
              <a:bodyPr/>
              <a:lstStyle/>
              <a:p>
                <a:pPr>
                  <a:defRPr sz="1000" b="1" i="0" u="none" strike="noStrike" baseline="0">
                    <a:solidFill>
                      <a:srgbClr val="000000"/>
                    </a:solidFill>
                    <a:latin typeface="Arial"/>
                    <a:ea typeface="Arial"/>
                    <a:cs typeface="Arial"/>
                  </a:defRPr>
                </a:pPr>
                <a:r>
                  <a:rPr lang="pl-PL"/>
                  <a:t>Inches</a:t>
                </a:r>
              </a:p>
            </c:rich>
          </c:tx>
          <c:layout>
            <c:manualLayout>
              <c:xMode val="edge"/>
              <c:yMode val="edge"/>
              <c:x val="0.4747910118087913"/>
              <c:y val="0.85661995370291399"/>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
        <c:crosses val="autoZero"/>
        <c:crossBetween val="midCat"/>
      </c:valAx>
      <c:valAx>
        <c:axId val="1"/>
        <c:scaling>
          <c:orientation val="minMax"/>
        </c:scaling>
        <c:delete val="0"/>
        <c:axPos val="l"/>
        <c:majorGridlines>
          <c:spPr>
            <a:ln w="12700">
              <a:solidFill>
                <a:srgbClr val="969696"/>
              </a:solidFill>
              <a:prstDash val="solid"/>
            </a:ln>
          </c:spPr>
        </c:majorGridlines>
        <c:title>
          <c:tx>
            <c:rich>
              <a:bodyPr/>
              <a:lstStyle/>
              <a:p>
                <a:pPr>
                  <a:defRPr sz="1000" b="1" i="0" u="none" strike="noStrike" baseline="0">
                    <a:solidFill>
                      <a:srgbClr val="000000"/>
                    </a:solidFill>
                    <a:latin typeface="Arial"/>
                    <a:ea typeface="Arial"/>
                    <a:cs typeface="Arial"/>
                  </a:defRPr>
                </a:pPr>
                <a:r>
                  <a:rPr lang="pl-PL"/>
                  <a:t>Inches</a:t>
                </a:r>
              </a:p>
            </c:rich>
          </c:tx>
          <c:layout>
            <c:manualLayout>
              <c:xMode val="edge"/>
              <c:yMode val="edge"/>
              <c:x val="1.8907606664951868E-2"/>
              <c:y val="0.38235397075151534"/>
            </c:manualLayout>
          </c:layout>
          <c:overlay val="0"/>
          <c:spPr>
            <a:noFill/>
            <a:ln w="25400">
              <a:noFill/>
            </a:ln>
          </c:spPr>
        </c:title>
        <c:numFmt formatCode="General_)"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45061209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FF"/>
                </a:solidFill>
                <a:latin typeface="Arial"/>
                <a:ea typeface="Arial"/>
                <a:cs typeface="Arial"/>
              </a:defRPr>
            </a:pPr>
            <a:r>
              <a:rPr lang="pl-PL"/>
              <a:t>Does your Vertical look like this?</a:t>
            </a:r>
          </a:p>
        </c:rich>
      </c:tx>
      <c:layout>
        <c:manualLayout>
          <c:xMode val="edge"/>
          <c:yMode val="edge"/>
          <c:x val="0.13411140764804297"/>
          <c:y val="4.4491536930287755E-2"/>
        </c:manualLayout>
      </c:layout>
      <c:overlay val="0"/>
      <c:spPr>
        <a:noFill/>
        <a:ln w="25400">
          <a:noFill/>
        </a:ln>
      </c:spPr>
    </c:title>
    <c:autoTitleDeleted val="0"/>
    <c:plotArea>
      <c:layout>
        <c:manualLayout>
          <c:layoutTarget val="inner"/>
          <c:xMode val="edge"/>
          <c:yMode val="edge"/>
          <c:x val="0.17201245763553338"/>
          <c:y val="0.17161021387396708"/>
          <c:w val="0.7638519305171142"/>
          <c:h val="0.72669510319469999"/>
        </c:manualLayout>
      </c:layout>
      <c:scatterChart>
        <c:scatterStyle val="lineMarker"/>
        <c:varyColors val="0"/>
        <c:ser>
          <c:idx val="0"/>
          <c:order val="0"/>
          <c:tx>
            <c:strRef>
              <c:f>'Cruiciform Tail'!$G$38</c:f>
              <c:strCache>
                <c:ptCount val="1"/>
                <c:pt idx="0">
                  <c:v>Span</c:v>
                </c:pt>
              </c:strCache>
            </c:strRef>
          </c:tx>
          <c:spPr>
            <a:ln w="25400">
              <a:solidFill>
                <a:srgbClr val="800000"/>
              </a:solidFill>
              <a:prstDash val="solid"/>
            </a:ln>
          </c:spPr>
          <c:marker>
            <c:symbol val="none"/>
          </c:marker>
          <c:dPt>
            <c:idx val="10"/>
            <c:marker>
              <c:symbol val="diamond"/>
              <c:size val="5"/>
              <c:spPr>
                <a:solidFill>
                  <a:srgbClr val="0000FF"/>
                </a:solidFill>
                <a:ln>
                  <a:solidFill>
                    <a:srgbClr val="0000FF"/>
                  </a:solidFill>
                  <a:prstDash val="solid"/>
                </a:ln>
              </c:spPr>
            </c:marker>
            <c:bubble3D val="0"/>
            <c:extLst>
              <c:ext xmlns:c16="http://schemas.microsoft.com/office/drawing/2014/chart" uri="{C3380CC4-5D6E-409C-BE32-E72D297353CC}">
                <c16:uniqueId val="{00000001-A2B6-42A9-8DDC-5B2F2352536C}"/>
              </c:ext>
            </c:extLst>
          </c:dPt>
          <c:xVal>
            <c:numRef>
              <c:f>'Cruiciform Tail'!$F$39:$F$49</c:f>
              <c:numCache>
                <c:formatCode>General_)</c:formatCode>
                <c:ptCount val="11"/>
                <c:pt idx="0" formatCode="General">
                  <c:v>0</c:v>
                </c:pt>
                <c:pt idx="1">
                  <c:v>3</c:v>
                </c:pt>
                <c:pt idx="2">
                  <c:v>19</c:v>
                </c:pt>
                <c:pt idx="3">
                  <c:v>27</c:v>
                </c:pt>
                <c:pt idx="4">
                  <c:v>0</c:v>
                </c:pt>
                <c:pt idx="5">
                  <c:v>0</c:v>
                </c:pt>
                <c:pt idx="6">
                  <c:v>28</c:v>
                </c:pt>
                <c:pt idx="7">
                  <c:v>27</c:v>
                </c:pt>
                <c:pt idx="8" formatCode="General">
                  <c:v>0</c:v>
                </c:pt>
                <c:pt idx="10">
                  <c:v>6.8657817109144545</c:v>
                </c:pt>
              </c:numCache>
            </c:numRef>
          </c:xVal>
          <c:yVal>
            <c:numRef>
              <c:f>'Cruiciform Tail'!$G$39:$G$49</c:f>
              <c:numCache>
                <c:formatCode>General_)</c:formatCode>
                <c:ptCount val="11"/>
                <c:pt idx="0" formatCode="General">
                  <c:v>0</c:v>
                </c:pt>
                <c:pt idx="1">
                  <c:v>31</c:v>
                </c:pt>
                <c:pt idx="2">
                  <c:v>31</c:v>
                </c:pt>
                <c:pt idx="3">
                  <c:v>0</c:v>
                </c:pt>
                <c:pt idx="4">
                  <c:v>0</c:v>
                </c:pt>
                <c:pt idx="5">
                  <c:v>-3.5</c:v>
                </c:pt>
                <c:pt idx="6">
                  <c:v>-3.5</c:v>
                </c:pt>
                <c:pt idx="7" formatCode="General">
                  <c:v>0</c:v>
                </c:pt>
                <c:pt idx="8" formatCode="General">
                  <c:v>0</c:v>
                </c:pt>
                <c:pt idx="10" formatCode="General">
                  <c:v>0</c:v>
                </c:pt>
              </c:numCache>
            </c:numRef>
          </c:yVal>
          <c:smooth val="0"/>
          <c:extLst>
            <c:ext xmlns:c16="http://schemas.microsoft.com/office/drawing/2014/chart" uri="{C3380CC4-5D6E-409C-BE32-E72D297353CC}">
              <c16:uniqueId val="{00000002-A2B6-42A9-8DDC-5B2F2352536C}"/>
            </c:ext>
          </c:extLst>
        </c:ser>
        <c:dLbls>
          <c:showLegendKey val="0"/>
          <c:showVal val="0"/>
          <c:showCatName val="0"/>
          <c:showSerName val="0"/>
          <c:showPercent val="0"/>
          <c:showBubbleSize val="0"/>
        </c:dLbls>
        <c:axId val="449832672"/>
        <c:axId val="1"/>
      </c:scatterChart>
      <c:valAx>
        <c:axId val="44983267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pl-PL"/>
                  <a:t>Inches</a:t>
                </a:r>
              </a:p>
            </c:rich>
          </c:tx>
          <c:layout>
            <c:manualLayout>
              <c:xMode val="edge"/>
              <c:yMode val="edge"/>
              <c:x val="0.4723053921518035"/>
              <c:y val="0.9173731186102188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550" b="0" i="0" u="none" strike="noStrike" baseline="0">
                <a:solidFill>
                  <a:srgbClr val="000000"/>
                </a:solidFill>
                <a:latin typeface="Arial"/>
                <a:ea typeface="Arial"/>
                <a:cs typeface="Arial"/>
              </a:defRPr>
            </a:pPr>
            <a:endParaRPr lang="pl-PL"/>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pl-PL"/>
                  <a:t>Inches</a:t>
                </a:r>
              </a:p>
            </c:rich>
          </c:tx>
          <c:layout>
            <c:manualLayout>
              <c:xMode val="edge"/>
              <c:yMode val="edge"/>
              <c:x val="2.6239188452877975E-2"/>
              <c:y val="0.4745763939230692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550" b="0" i="0" u="none" strike="noStrike" baseline="0">
                <a:solidFill>
                  <a:srgbClr val="000000"/>
                </a:solidFill>
                <a:latin typeface="Arial"/>
                <a:ea typeface="Arial"/>
                <a:cs typeface="Arial"/>
              </a:defRPr>
            </a:pPr>
            <a:endParaRPr lang="pl-PL"/>
          </a:p>
        </c:txPr>
        <c:crossAx val="44983267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55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horizontalDpi="-2" verticalDpi="-2"/>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FF"/>
                </a:solidFill>
                <a:latin typeface="Comic Sans MS"/>
                <a:ea typeface="Comic Sans MS"/>
                <a:cs typeface="Comic Sans MS"/>
              </a:defRPr>
            </a:pPr>
            <a:r>
              <a:rPr lang="pl-PL"/>
              <a:t>Does your wing look like this?</a:t>
            </a:r>
          </a:p>
        </c:rich>
      </c:tx>
      <c:layout>
        <c:manualLayout>
          <c:xMode val="edge"/>
          <c:yMode val="edge"/>
          <c:x val="0.29197906706279309"/>
          <c:y val="2.1390374331550801E-2"/>
        </c:manualLayout>
      </c:layout>
      <c:overlay val="0"/>
      <c:spPr>
        <a:noFill/>
        <a:ln w="25400">
          <a:noFill/>
        </a:ln>
      </c:spPr>
    </c:title>
    <c:autoTitleDeleted val="0"/>
    <c:plotArea>
      <c:layout>
        <c:manualLayout>
          <c:layoutTarget val="inner"/>
          <c:xMode val="edge"/>
          <c:yMode val="edge"/>
          <c:x val="8.6631151765883679E-2"/>
          <c:y val="0.17112299465240641"/>
          <c:w val="0.87807624197272205"/>
          <c:h val="0.61764705882352933"/>
        </c:manualLayout>
      </c:layout>
      <c:scatterChart>
        <c:scatterStyle val="lineMarker"/>
        <c:varyColors val="0"/>
        <c:ser>
          <c:idx val="0"/>
          <c:order val="0"/>
          <c:spPr>
            <a:ln w="25400">
              <a:solidFill>
                <a:srgbClr val="800000"/>
              </a:solidFill>
              <a:prstDash val="solid"/>
            </a:ln>
          </c:spPr>
          <c:marker>
            <c:symbol val="none"/>
          </c:marker>
          <c:xVal>
            <c:numRef>
              <c:f>'Cruciform Tail CG'!$B$17:$B$21</c:f>
              <c:numCache>
                <c:formatCode>General_)</c:formatCode>
                <c:ptCount val="5"/>
                <c:pt idx="0">
                  <c:v>0</c:v>
                </c:pt>
                <c:pt idx="1">
                  <c:v>0</c:v>
                </c:pt>
                <c:pt idx="2">
                  <c:v>191</c:v>
                </c:pt>
                <c:pt idx="3">
                  <c:v>191</c:v>
                </c:pt>
                <c:pt idx="4">
                  <c:v>0</c:v>
                </c:pt>
              </c:numCache>
            </c:numRef>
          </c:xVal>
          <c:yVal>
            <c:numRef>
              <c:f>'Cruciform Tail CG'!$C$17:$C$21</c:f>
              <c:numCache>
                <c:formatCode>General_)</c:formatCode>
                <c:ptCount val="5"/>
                <c:pt idx="0">
                  <c:v>0</c:v>
                </c:pt>
                <c:pt idx="1">
                  <c:v>50</c:v>
                </c:pt>
                <c:pt idx="2">
                  <c:v>41</c:v>
                </c:pt>
                <c:pt idx="3">
                  <c:v>21</c:v>
                </c:pt>
                <c:pt idx="4">
                  <c:v>0</c:v>
                </c:pt>
              </c:numCache>
            </c:numRef>
          </c:yVal>
          <c:smooth val="0"/>
          <c:extLst>
            <c:ext xmlns:c16="http://schemas.microsoft.com/office/drawing/2014/chart" uri="{C3380CC4-5D6E-409C-BE32-E72D297353CC}">
              <c16:uniqueId val="{00000000-7639-4900-8114-708F0E2B1BAE}"/>
            </c:ext>
          </c:extLst>
        </c:ser>
        <c:ser>
          <c:idx val="1"/>
          <c:order val="1"/>
          <c:spPr>
            <a:ln w="25400">
              <a:solidFill>
                <a:srgbClr val="800000"/>
              </a:solidFill>
              <a:prstDash val="solid"/>
            </a:ln>
          </c:spPr>
          <c:marker>
            <c:symbol val="none"/>
          </c:marker>
          <c:xVal>
            <c:numRef>
              <c:f>'Cruciform Tail CG'!$D$17:$D$20</c:f>
              <c:numCache>
                <c:formatCode>General_)</c:formatCode>
                <c:ptCount val="4"/>
                <c:pt idx="0">
                  <c:v>191</c:v>
                </c:pt>
                <c:pt idx="1">
                  <c:v>191</c:v>
                </c:pt>
                <c:pt idx="2">
                  <c:v>191</c:v>
                </c:pt>
                <c:pt idx="3">
                  <c:v>191</c:v>
                </c:pt>
              </c:numCache>
            </c:numRef>
          </c:xVal>
          <c:yVal>
            <c:numRef>
              <c:f>'Cruciform Tail CG'!$E$17:$E$20</c:f>
              <c:numCache>
                <c:formatCode>General_)</c:formatCode>
                <c:ptCount val="4"/>
                <c:pt idx="0">
                  <c:v>41</c:v>
                </c:pt>
                <c:pt idx="1">
                  <c:v>41</c:v>
                </c:pt>
                <c:pt idx="2">
                  <c:v>41</c:v>
                </c:pt>
                <c:pt idx="3">
                  <c:v>21</c:v>
                </c:pt>
              </c:numCache>
            </c:numRef>
          </c:yVal>
          <c:smooth val="0"/>
          <c:extLst>
            <c:ext xmlns:c16="http://schemas.microsoft.com/office/drawing/2014/chart" uri="{C3380CC4-5D6E-409C-BE32-E72D297353CC}">
              <c16:uniqueId val="{00000001-7639-4900-8114-708F0E2B1BAE}"/>
            </c:ext>
          </c:extLst>
        </c:ser>
        <c:ser>
          <c:idx val="2"/>
          <c:order val="2"/>
          <c:spPr>
            <a:ln w="25400">
              <a:solidFill>
                <a:srgbClr val="800000"/>
              </a:solidFill>
              <a:prstDash val="solid"/>
            </a:ln>
          </c:spPr>
          <c:marker>
            <c:symbol val="none"/>
          </c:marker>
          <c:xVal>
            <c:numRef>
              <c:f>'Cruciform Tail CG'!$F$17:$F$20</c:f>
              <c:numCache>
                <c:formatCode>General_)</c:formatCode>
                <c:ptCount val="4"/>
                <c:pt idx="0">
                  <c:v>191</c:v>
                </c:pt>
                <c:pt idx="1">
                  <c:v>191</c:v>
                </c:pt>
                <c:pt idx="2">
                  <c:v>191</c:v>
                </c:pt>
                <c:pt idx="3">
                  <c:v>191</c:v>
                </c:pt>
              </c:numCache>
            </c:numRef>
          </c:xVal>
          <c:yVal>
            <c:numRef>
              <c:f>'Cruciform Tail CG'!$G$17:$G$20</c:f>
              <c:numCache>
                <c:formatCode>General_)</c:formatCode>
                <c:ptCount val="4"/>
                <c:pt idx="0">
                  <c:v>41</c:v>
                </c:pt>
                <c:pt idx="1">
                  <c:v>41</c:v>
                </c:pt>
                <c:pt idx="2">
                  <c:v>41</c:v>
                </c:pt>
                <c:pt idx="3">
                  <c:v>41</c:v>
                </c:pt>
              </c:numCache>
            </c:numRef>
          </c:yVal>
          <c:smooth val="0"/>
          <c:extLst>
            <c:ext xmlns:c16="http://schemas.microsoft.com/office/drawing/2014/chart" uri="{C3380CC4-5D6E-409C-BE32-E72D297353CC}">
              <c16:uniqueId val="{00000002-7639-4900-8114-708F0E2B1BAE}"/>
            </c:ext>
          </c:extLst>
        </c:ser>
        <c:ser>
          <c:idx val="3"/>
          <c:order val="3"/>
          <c:spPr>
            <a:ln w="12700">
              <a:solidFill>
                <a:srgbClr val="800000"/>
              </a:solidFill>
              <a:prstDash val="solid"/>
            </a:ln>
          </c:spPr>
          <c:marker>
            <c:symbol val="diamond"/>
            <c:size val="8"/>
            <c:spPr>
              <a:solidFill>
                <a:srgbClr val="0000FF"/>
              </a:solidFill>
              <a:ln>
                <a:solidFill>
                  <a:srgbClr val="0000FF"/>
                </a:solidFill>
                <a:prstDash val="solid"/>
              </a:ln>
            </c:spPr>
          </c:marker>
          <c:xVal>
            <c:numRef>
              <c:f>'Cruciform Tail CG'!$B$23</c:f>
              <c:numCache>
                <c:formatCode>General_)</c:formatCode>
                <c:ptCount val="1"/>
                <c:pt idx="0">
                  <c:v>0</c:v>
                </c:pt>
              </c:numCache>
            </c:numRef>
          </c:xVal>
          <c:yVal>
            <c:numRef>
              <c:f>'Cruciform Tail CG'!$C$23</c:f>
              <c:numCache>
                <c:formatCode>General_)</c:formatCode>
                <c:ptCount val="1"/>
                <c:pt idx="0">
                  <c:v>-60</c:v>
                </c:pt>
              </c:numCache>
            </c:numRef>
          </c:yVal>
          <c:smooth val="0"/>
          <c:extLst>
            <c:ext xmlns:c16="http://schemas.microsoft.com/office/drawing/2014/chart" uri="{C3380CC4-5D6E-409C-BE32-E72D297353CC}">
              <c16:uniqueId val="{00000003-7639-4900-8114-708F0E2B1BAE}"/>
            </c:ext>
          </c:extLst>
        </c:ser>
        <c:ser>
          <c:idx val="4"/>
          <c:order val="4"/>
          <c:spPr>
            <a:ln w="12700">
              <a:solidFill>
                <a:srgbClr val="800080"/>
              </a:solidFill>
              <a:prstDash val="solid"/>
            </a:ln>
          </c:spPr>
          <c:marker>
            <c:symbol val="dash"/>
            <c:size val="9"/>
            <c:spPr>
              <a:solidFill>
                <a:srgbClr val="FF0000"/>
              </a:solidFill>
              <a:ln>
                <a:solidFill>
                  <a:srgbClr val="FF0000"/>
                </a:solidFill>
                <a:prstDash val="solid"/>
              </a:ln>
            </c:spPr>
          </c:marker>
          <c:xVal>
            <c:numLit>
              <c:formatCode>General</c:formatCode>
              <c:ptCount val="1"/>
              <c:pt idx="0">
                <c:v>0</c:v>
              </c:pt>
            </c:numLit>
          </c:xVal>
          <c:yVal>
            <c:numRef>
              <c:f>'Cruciform Tail CG'!$C$24</c:f>
              <c:numCache>
                <c:formatCode>0.00</c:formatCode>
                <c:ptCount val="1"/>
                <c:pt idx="0">
                  <c:v>34.557451928583419</c:v>
                </c:pt>
              </c:numCache>
            </c:numRef>
          </c:yVal>
          <c:smooth val="0"/>
          <c:extLst>
            <c:ext xmlns:c16="http://schemas.microsoft.com/office/drawing/2014/chart" uri="{C3380CC4-5D6E-409C-BE32-E72D297353CC}">
              <c16:uniqueId val="{00000004-7639-4900-8114-708F0E2B1BAE}"/>
            </c:ext>
          </c:extLst>
        </c:ser>
        <c:dLbls>
          <c:showLegendKey val="0"/>
          <c:showVal val="0"/>
          <c:showCatName val="0"/>
          <c:showSerName val="0"/>
          <c:showPercent val="0"/>
          <c:showBubbleSize val="0"/>
        </c:dLbls>
        <c:axId val="450610296"/>
        <c:axId val="1"/>
      </c:scatterChart>
      <c:valAx>
        <c:axId val="450610296"/>
        <c:scaling>
          <c:orientation val="minMax"/>
        </c:scaling>
        <c:delete val="0"/>
        <c:axPos val="b"/>
        <c:majorGridlines>
          <c:spPr>
            <a:ln w="3175">
              <a:solidFill>
                <a:srgbClr val="969696"/>
              </a:solidFill>
              <a:prstDash val="solid"/>
            </a:ln>
          </c:spPr>
        </c:majorGridlines>
        <c:title>
          <c:tx>
            <c:rich>
              <a:bodyPr/>
              <a:lstStyle/>
              <a:p>
                <a:pPr>
                  <a:defRPr sz="1000" b="1" i="0" u="none" strike="noStrike" baseline="0">
                    <a:solidFill>
                      <a:srgbClr val="000000"/>
                    </a:solidFill>
                    <a:latin typeface="Arial"/>
                    <a:ea typeface="Arial"/>
                    <a:cs typeface="Arial"/>
                  </a:defRPr>
                </a:pPr>
                <a:r>
                  <a:rPr lang="pl-PL"/>
                  <a:t>Inches</a:t>
                </a:r>
              </a:p>
            </c:rich>
          </c:tx>
          <c:layout>
            <c:manualLayout>
              <c:xMode val="edge"/>
              <c:yMode val="edge"/>
              <c:x val="0.49518794157535961"/>
              <c:y val="0.87433155080213898"/>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pl-PL"/>
          </a:p>
        </c:txPr>
        <c:crossAx val="1"/>
        <c:crosses val="autoZero"/>
        <c:crossBetween val="midCat"/>
      </c:valAx>
      <c:valAx>
        <c:axId val="1"/>
        <c:scaling>
          <c:orientation val="minMax"/>
        </c:scaling>
        <c:delete val="0"/>
        <c:axPos val="l"/>
        <c:majorGridlines>
          <c:spPr>
            <a:ln w="3175">
              <a:solidFill>
                <a:srgbClr val="969696"/>
              </a:solidFill>
              <a:prstDash val="solid"/>
            </a:ln>
          </c:spPr>
        </c:majorGridlines>
        <c:title>
          <c:tx>
            <c:rich>
              <a:bodyPr/>
              <a:lstStyle/>
              <a:p>
                <a:pPr>
                  <a:defRPr sz="1000" b="1" i="0" u="none" strike="noStrike" baseline="0">
                    <a:solidFill>
                      <a:srgbClr val="000000"/>
                    </a:solidFill>
                    <a:latin typeface="Arial"/>
                    <a:ea typeface="Arial"/>
                    <a:cs typeface="Arial"/>
                  </a:defRPr>
                </a:pPr>
                <a:r>
                  <a:rPr lang="pl-PL"/>
                  <a:t>Inches</a:t>
                </a:r>
              </a:p>
            </c:rich>
          </c:tx>
          <c:layout>
            <c:manualLayout>
              <c:xMode val="edge"/>
              <c:yMode val="edge"/>
              <c:x val="1.9251367059085259E-2"/>
              <c:y val="0.40374331550802134"/>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pl-PL"/>
          </a:p>
        </c:txPr>
        <c:crossAx val="45061029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i="0" u="none" strike="noStrike" baseline="0">
                <a:solidFill>
                  <a:srgbClr val="0000FF"/>
                </a:solidFill>
                <a:latin typeface="Arial"/>
                <a:ea typeface="Arial"/>
                <a:cs typeface="Arial"/>
              </a:defRPr>
            </a:pPr>
            <a:r>
              <a:rPr lang="pl-PL"/>
              <a:t>Does your V-Tail look like this?</a:t>
            </a:r>
          </a:p>
        </c:rich>
      </c:tx>
      <c:layout>
        <c:manualLayout>
          <c:xMode val="edge"/>
          <c:yMode val="edge"/>
          <c:x val="0.22425666876542294"/>
          <c:y val="3.8585345309088227E-2"/>
        </c:manualLayout>
      </c:layout>
      <c:overlay val="0"/>
      <c:spPr>
        <a:noFill/>
        <a:ln w="25400">
          <a:noFill/>
        </a:ln>
      </c:spPr>
    </c:title>
    <c:autoTitleDeleted val="0"/>
    <c:plotArea>
      <c:layout>
        <c:manualLayout>
          <c:layoutTarget val="inner"/>
          <c:xMode val="edge"/>
          <c:yMode val="edge"/>
          <c:x val="0.16018333483244498"/>
          <c:y val="0.19292672654544113"/>
          <c:w val="0.771168340550485"/>
          <c:h val="0.60450374317571554"/>
        </c:manualLayout>
      </c:layout>
      <c:scatterChart>
        <c:scatterStyle val="lineMarker"/>
        <c:varyColors val="0"/>
        <c:ser>
          <c:idx val="0"/>
          <c:order val="0"/>
          <c:spPr>
            <a:ln w="25400">
              <a:solidFill>
                <a:srgbClr val="800000"/>
              </a:solidFill>
              <a:prstDash val="solid"/>
            </a:ln>
          </c:spPr>
          <c:marker>
            <c:symbol val="none"/>
          </c:marker>
          <c:dPt>
            <c:idx val="6"/>
            <c:marker>
              <c:symbol val="diamond"/>
              <c:size val="6"/>
              <c:spPr>
                <a:solidFill>
                  <a:srgbClr val="0000FF"/>
                </a:solidFill>
                <a:ln>
                  <a:solidFill>
                    <a:srgbClr val="0000FF"/>
                  </a:solidFill>
                  <a:prstDash val="solid"/>
                </a:ln>
              </c:spPr>
            </c:marker>
            <c:bubble3D val="0"/>
            <c:extLst>
              <c:ext xmlns:c16="http://schemas.microsoft.com/office/drawing/2014/chart" uri="{C3380CC4-5D6E-409C-BE32-E72D297353CC}">
                <c16:uniqueId val="{00000001-C53E-44A8-8611-FA2B80F9B092}"/>
              </c:ext>
            </c:extLst>
          </c:dPt>
          <c:xVal>
            <c:numRef>
              <c:f>'V-Tail'!$H$10:$H$16</c:f>
              <c:numCache>
                <c:formatCode>General_)</c:formatCode>
                <c:ptCount val="7"/>
                <c:pt idx="0">
                  <c:v>0</c:v>
                </c:pt>
                <c:pt idx="1">
                  <c:v>0</c:v>
                </c:pt>
                <c:pt idx="2">
                  <c:v>0</c:v>
                </c:pt>
                <c:pt idx="3">
                  <c:v>0</c:v>
                </c:pt>
                <c:pt idx="4">
                  <c:v>0</c:v>
                </c:pt>
                <c:pt idx="6">
                  <c:v>0</c:v>
                </c:pt>
              </c:numCache>
            </c:numRef>
          </c:xVal>
          <c:yVal>
            <c:numRef>
              <c:f>'V-Tail'!$I$10:$I$16</c:f>
              <c:numCache>
                <c:formatCode>General_)</c:formatCode>
                <c:ptCount val="7"/>
                <c:pt idx="0">
                  <c:v>0</c:v>
                </c:pt>
                <c:pt idx="1">
                  <c:v>0</c:v>
                </c:pt>
                <c:pt idx="2">
                  <c:v>0</c:v>
                </c:pt>
                <c:pt idx="3">
                  <c:v>0</c:v>
                </c:pt>
                <c:pt idx="4">
                  <c:v>0</c:v>
                </c:pt>
                <c:pt idx="6">
                  <c:v>0</c:v>
                </c:pt>
              </c:numCache>
            </c:numRef>
          </c:yVal>
          <c:smooth val="0"/>
          <c:extLst>
            <c:ext xmlns:c16="http://schemas.microsoft.com/office/drawing/2014/chart" uri="{C3380CC4-5D6E-409C-BE32-E72D297353CC}">
              <c16:uniqueId val="{00000002-C53E-44A8-8611-FA2B80F9B092}"/>
            </c:ext>
          </c:extLst>
        </c:ser>
        <c:dLbls>
          <c:showLegendKey val="0"/>
          <c:showVal val="0"/>
          <c:showCatName val="0"/>
          <c:showSerName val="0"/>
          <c:showPercent val="0"/>
          <c:showBubbleSize val="0"/>
        </c:dLbls>
        <c:axId val="449832312"/>
        <c:axId val="1"/>
      </c:scatterChart>
      <c:valAx>
        <c:axId val="44983231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pl-PL"/>
                  <a:t>inches</a:t>
                </a:r>
              </a:p>
            </c:rich>
          </c:tx>
          <c:layout>
            <c:manualLayout>
              <c:xMode val="edge"/>
              <c:yMode val="edge"/>
              <c:x val="0.49428000462583016"/>
              <c:y val="0.89710927843630106"/>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pl-PL"/>
                  <a:t>inches</a:t>
                </a:r>
              </a:p>
            </c:rich>
          </c:tx>
          <c:layout>
            <c:manualLayout>
              <c:xMode val="edge"/>
              <c:yMode val="edge"/>
              <c:x val="5.4920000513981125E-2"/>
              <c:y val="0.42443879839997051"/>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pl-PL"/>
          </a:p>
        </c:txPr>
        <c:crossAx val="44983231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horizontalDpi="-2" verticalDpi="-2"/>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FF"/>
                </a:solidFill>
                <a:latin typeface="Comic Sans MS"/>
                <a:ea typeface="Comic Sans MS"/>
                <a:cs typeface="Comic Sans MS"/>
              </a:defRPr>
            </a:pPr>
            <a:r>
              <a:rPr lang="pl-PL"/>
              <a:t>Does your wing look like this?</a:t>
            </a:r>
          </a:p>
        </c:rich>
      </c:tx>
      <c:layout>
        <c:manualLayout>
          <c:xMode val="edge"/>
          <c:yMode val="edge"/>
          <c:x val="0.28797498019574541"/>
          <c:y val="2.1052712734038602E-2"/>
        </c:manualLayout>
      </c:layout>
      <c:overlay val="0"/>
      <c:spPr>
        <a:noFill/>
        <a:ln w="25400">
          <a:noFill/>
        </a:ln>
      </c:spPr>
    </c:title>
    <c:autoTitleDeleted val="0"/>
    <c:plotArea>
      <c:layout>
        <c:manualLayout>
          <c:layoutTarget val="inner"/>
          <c:xMode val="edge"/>
          <c:yMode val="edge"/>
          <c:x val="8.544312599214425E-2"/>
          <c:y val="0.17368488005581847"/>
          <c:w val="0.87869288828958192"/>
          <c:h val="0.61579184747062909"/>
        </c:manualLayout>
      </c:layout>
      <c:scatterChart>
        <c:scatterStyle val="lineMarker"/>
        <c:varyColors val="0"/>
        <c:ser>
          <c:idx val="0"/>
          <c:order val="0"/>
          <c:spPr>
            <a:ln w="25400">
              <a:solidFill>
                <a:srgbClr val="800000"/>
              </a:solidFill>
              <a:prstDash val="solid"/>
            </a:ln>
          </c:spPr>
          <c:marker>
            <c:symbol val="none"/>
          </c:marker>
          <c:xVal>
            <c:numRef>
              <c:f>'V-Tail CG'!$B$17:$B$21</c:f>
              <c:numCache>
                <c:formatCode>General_)</c:formatCode>
                <c:ptCount val="5"/>
                <c:pt idx="0">
                  <c:v>0</c:v>
                </c:pt>
                <c:pt idx="1">
                  <c:v>0</c:v>
                </c:pt>
                <c:pt idx="2">
                  <c:v>191</c:v>
                </c:pt>
                <c:pt idx="3">
                  <c:v>191</c:v>
                </c:pt>
                <c:pt idx="4">
                  <c:v>0</c:v>
                </c:pt>
              </c:numCache>
            </c:numRef>
          </c:xVal>
          <c:yVal>
            <c:numRef>
              <c:f>'V-Tail CG'!$C$17:$C$21</c:f>
              <c:numCache>
                <c:formatCode>General_)</c:formatCode>
                <c:ptCount val="5"/>
                <c:pt idx="0">
                  <c:v>0</c:v>
                </c:pt>
                <c:pt idx="1">
                  <c:v>50</c:v>
                </c:pt>
                <c:pt idx="2">
                  <c:v>41</c:v>
                </c:pt>
                <c:pt idx="3">
                  <c:v>21</c:v>
                </c:pt>
                <c:pt idx="4">
                  <c:v>0</c:v>
                </c:pt>
              </c:numCache>
            </c:numRef>
          </c:yVal>
          <c:smooth val="0"/>
          <c:extLst>
            <c:ext xmlns:c16="http://schemas.microsoft.com/office/drawing/2014/chart" uri="{C3380CC4-5D6E-409C-BE32-E72D297353CC}">
              <c16:uniqueId val="{00000000-0184-4612-B9BF-E7C1439A5C55}"/>
            </c:ext>
          </c:extLst>
        </c:ser>
        <c:ser>
          <c:idx val="1"/>
          <c:order val="1"/>
          <c:spPr>
            <a:ln w="25400">
              <a:solidFill>
                <a:srgbClr val="800000"/>
              </a:solidFill>
              <a:prstDash val="solid"/>
            </a:ln>
          </c:spPr>
          <c:marker>
            <c:symbol val="none"/>
          </c:marker>
          <c:xVal>
            <c:numRef>
              <c:f>'V-Tail CG'!$D$17:$D$20</c:f>
              <c:numCache>
                <c:formatCode>General_)</c:formatCode>
                <c:ptCount val="4"/>
                <c:pt idx="0">
                  <c:v>191</c:v>
                </c:pt>
                <c:pt idx="1">
                  <c:v>191</c:v>
                </c:pt>
                <c:pt idx="2">
                  <c:v>191</c:v>
                </c:pt>
                <c:pt idx="3">
                  <c:v>191</c:v>
                </c:pt>
              </c:numCache>
            </c:numRef>
          </c:xVal>
          <c:yVal>
            <c:numRef>
              <c:f>'V-Tail CG'!$E$17:$E$20</c:f>
              <c:numCache>
                <c:formatCode>General_)</c:formatCode>
                <c:ptCount val="4"/>
                <c:pt idx="0">
                  <c:v>41</c:v>
                </c:pt>
                <c:pt idx="1">
                  <c:v>41</c:v>
                </c:pt>
                <c:pt idx="2">
                  <c:v>41</c:v>
                </c:pt>
                <c:pt idx="3">
                  <c:v>21</c:v>
                </c:pt>
              </c:numCache>
            </c:numRef>
          </c:yVal>
          <c:smooth val="0"/>
          <c:extLst>
            <c:ext xmlns:c16="http://schemas.microsoft.com/office/drawing/2014/chart" uri="{C3380CC4-5D6E-409C-BE32-E72D297353CC}">
              <c16:uniqueId val="{00000001-0184-4612-B9BF-E7C1439A5C55}"/>
            </c:ext>
          </c:extLst>
        </c:ser>
        <c:ser>
          <c:idx val="2"/>
          <c:order val="2"/>
          <c:spPr>
            <a:ln w="25400">
              <a:solidFill>
                <a:srgbClr val="800000"/>
              </a:solidFill>
              <a:prstDash val="solid"/>
            </a:ln>
          </c:spPr>
          <c:marker>
            <c:symbol val="none"/>
          </c:marker>
          <c:xVal>
            <c:numRef>
              <c:f>'V-Tail CG'!$F$17:$F$20</c:f>
              <c:numCache>
                <c:formatCode>General_)</c:formatCode>
                <c:ptCount val="4"/>
                <c:pt idx="0">
                  <c:v>191</c:v>
                </c:pt>
                <c:pt idx="1">
                  <c:v>191</c:v>
                </c:pt>
                <c:pt idx="2">
                  <c:v>191</c:v>
                </c:pt>
                <c:pt idx="3">
                  <c:v>191</c:v>
                </c:pt>
              </c:numCache>
            </c:numRef>
          </c:xVal>
          <c:yVal>
            <c:numRef>
              <c:f>'V-Tail CG'!$G$17:$G$20</c:f>
              <c:numCache>
                <c:formatCode>General_)</c:formatCode>
                <c:ptCount val="4"/>
                <c:pt idx="0">
                  <c:v>41</c:v>
                </c:pt>
                <c:pt idx="1">
                  <c:v>41</c:v>
                </c:pt>
                <c:pt idx="2">
                  <c:v>41</c:v>
                </c:pt>
                <c:pt idx="3">
                  <c:v>41</c:v>
                </c:pt>
              </c:numCache>
            </c:numRef>
          </c:yVal>
          <c:smooth val="0"/>
          <c:extLst>
            <c:ext xmlns:c16="http://schemas.microsoft.com/office/drawing/2014/chart" uri="{C3380CC4-5D6E-409C-BE32-E72D297353CC}">
              <c16:uniqueId val="{00000002-0184-4612-B9BF-E7C1439A5C55}"/>
            </c:ext>
          </c:extLst>
        </c:ser>
        <c:ser>
          <c:idx val="3"/>
          <c:order val="3"/>
          <c:spPr>
            <a:ln w="12700">
              <a:solidFill>
                <a:srgbClr val="800000"/>
              </a:solidFill>
              <a:prstDash val="solid"/>
            </a:ln>
          </c:spPr>
          <c:marker>
            <c:symbol val="diamond"/>
            <c:size val="8"/>
            <c:spPr>
              <a:solidFill>
                <a:srgbClr val="0000FF"/>
              </a:solidFill>
              <a:ln>
                <a:solidFill>
                  <a:srgbClr val="0000FF"/>
                </a:solidFill>
                <a:prstDash val="solid"/>
              </a:ln>
            </c:spPr>
          </c:marker>
          <c:xVal>
            <c:numRef>
              <c:f>'V-Tail CG'!$B$23</c:f>
              <c:numCache>
                <c:formatCode>General_)</c:formatCode>
                <c:ptCount val="1"/>
                <c:pt idx="0">
                  <c:v>0</c:v>
                </c:pt>
              </c:numCache>
            </c:numRef>
          </c:xVal>
          <c:yVal>
            <c:numRef>
              <c:f>'V-Tail CG'!$C$23</c:f>
              <c:numCache>
                <c:formatCode>General_)</c:formatCode>
                <c:ptCount val="1"/>
                <c:pt idx="0">
                  <c:v>47.6</c:v>
                </c:pt>
              </c:numCache>
            </c:numRef>
          </c:yVal>
          <c:smooth val="0"/>
          <c:extLst>
            <c:ext xmlns:c16="http://schemas.microsoft.com/office/drawing/2014/chart" uri="{C3380CC4-5D6E-409C-BE32-E72D297353CC}">
              <c16:uniqueId val="{00000003-0184-4612-B9BF-E7C1439A5C55}"/>
            </c:ext>
          </c:extLst>
        </c:ser>
        <c:ser>
          <c:idx val="4"/>
          <c:order val="4"/>
          <c:spPr>
            <a:ln w="12700">
              <a:solidFill>
                <a:srgbClr val="800080"/>
              </a:solidFill>
              <a:prstDash val="solid"/>
            </a:ln>
          </c:spPr>
          <c:marker>
            <c:symbol val="dash"/>
            <c:size val="9"/>
            <c:spPr>
              <a:solidFill>
                <a:srgbClr val="FF0000"/>
              </a:solidFill>
              <a:ln>
                <a:solidFill>
                  <a:srgbClr val="FF0000"/>
                </a:solidFill>
                <a:prstDash val="solid"/>
              </a:ln>
            </c:spPr>
          </c:marker>
          <c:xVal>
            <c:numLit>
              <c:formatCode>General</c:formatCode>
              <c:ptCount val="1"/>
              <c:pt idx="0">
                <c:v>0</c:v>
              </c:pt>
            </c:numLit>
          </c:xVal>
          <c:yVal>
            <c:numRef>
              <c:f>'V-Tail CG'!$C$24</c:f>
              <c:numCache>
                <c:formatCode>0.00</c:formatCode>
                <c:ptCount val="1"/>
                <c:pt idx="0">
                  <c:v>0</c:v>
                </c:pt>
              </c:numCache>
            </c:numRef>
          </c:yVal>
          <c:smooth val="0"/>
          <c:extLst>
            <c:ext xmlns:c16="http://schemas.microsoft.com/office/drawing/2014/chart" uri="{C3380CC4-5D6E-409C-BE32-E72D297353CC}">
              <c16:uniqueId val="{00000004-0184-4612-B9BF-E7C1439A5C55}"/>
            </c:ext>
          </c:extLst>
        </c:ser>
        <c:dLbls>
          <c:showLegendKey val="0"/>
          <c:showVal val="0"/>
          <c:showCatName val="0"/>
          <c:showSerName val="0"/>
          <c:showPercent val="0"/>
          <c:showBubbleSize val="0"/>
        </c:dLbls>
        <c:axId val="451083352"/>
        <c:axId val="1"/>
      </c:scatterChart>
      <c:valAx>
        <c:axId val="451083352"/>
        <c:scaling>
          <c:orientation val="minMax"/>
        </c:scaling>
        <c:delete val="0"/>
        <c:axPos val="b"/>
        <c:majorGridlines>
          <c:spPr>
            <a:ln w="3175">
              <a:solidFill>
                <a:srgbClr val="969696"/>
              </a:solidFill>
              <a:prstDash val="solid"/>
            </a:ln>
          </c:spPr>
        </c:majorGridlines>
        <c:title>
          <c:tx>
            <c:rich>
              <a:bodyPr/>
              <a:lstStyle/>
              <a:p>
                <a:pPr>
                  <a:defRPr sz="1025" b="1" i="0" u="none" strike="noStrike" baseline="0">
                    <a:solidFill>
                      <a:srgbClr val="000000"/>
                    </a:solidFill>
                    <a:latin typeface="Arial"/>
                    <a:ea typeface="Arial"/>
                    <a:cs typeface="Arial"/>
                  </a:defRPr>
                </a:pPr>
                <a:r>
                  <a:rPr lang="pl-PL"/>
                  <a:t>Inches</a:t>
                </a:r>
              </a:p>
            </c:rich>
          </c:tx>
          <c:layout>
            <c:manualLayout>
              <c:xMode val="edge"/>
              <c:yMode val="edge"/>
              <c:x val="0.49472624802858817"/>
              <c:y val="0.87368757846260192"/>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pl-PL"/>
          </a:p>
        </c:txPr>
        <c:crossAx val="1"/>
        <c:crosses val="autoZero"/>
        <c:crossBetween val="midCat"/>
      </c:valAx>
      <c:valAx>
        <c:axId val="1"/>
        <c:scaling>
          <c:orientation val="minMax"/>
        </c:scaling>
        <c:delete val="0"/>
        <c:axPos val="l"/>
        <c:majorGridlines>
          <c:spPr>
            <a:ln w="3175">
              <a:solidFill>
                <a:srgbClr val="969696"/>
              </a:solidFill>
              <a:prstDash val="solid"/>
            </a:ln>
          </c:spPr>
        </c:majorGridlines>
        <c:title>
          <c:tx>
            <c:rich>
              <a:bodyPr/>
              <a:lstStyle/>
              <a:p>
                <a:pPr>
                  <a:defRPr sz="1025" b="1" i="0" u="none" strike="noStrike" baseline="0">
                    <a:solidFill>
                      <a:srgbClr val="000000"/>
                    </a:solidFill>
                    <a:latin typeface="Arial"/>
                    <a:ea typeface="Arial"/>
                    <a:cs typeface="Arial"/>
                  </a:defRPr>
                </a:pPr>
                <a:r>
                  <a:rPr lang="pl-PL"/>
                  <a:t>Inches</a:t>
                </a:r>
              </a:p>
            </c:rich>
          </c:tx>
          <c:layout>
            <c:manualLayout>
              <c:xMode val="edge"/>
              <c:yMode val="edge"/>
              <c:x val="1.8987361331587609E-2"/>
              <c:y val="0.40789630922199799"/>
            </c:manualLayout>
          </c:layout>
          <c:overlay val="0"/>
          <c:spPr>
            <a:noFill/>
            <a:ln w="25400">
              <a:noFill/>
            </a:ln>
          </c:spPr>
        </c:title>
        <c:numFmt formatCode="General_)"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pl-PL"/>
          </a:p>
        </c:txPr>
        <c:crossAx val="45108335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l-PL"/>
    </a:p>
  </c:txPr>
  <c:printSettings>
    <c:headerFooter alignWithMargins="0"/>
    <c:pageMargins b="1" l="0.75" r="0.75" t="1" header="0.5" footer="0.5"/>
    <c:pageSetup orientation="landscape"/>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1089660</xdr:colOff>
      <xdr:row>1</xdr:row>
      <xdr:rowOff>99060</xdr:rowOff>
    </xdr:from>
    <xdr:to>
      <xdr:col>1</xdr:col>
      <xdr:colOff>4351020</xdr:colOff>
      <xdr:row>3</xdr:row>
      <xdr:rowOff>160020</xdr:rowOff>
    </xdr:to>
    <xdr:sp macro="" textlink="">
      <xdr:nvSpPr>
        <xdr:cNvPr id="14337" name="WordArt 1025">
          <a:extLst>
            <a:ext uri="{FF2B5EF4-FFF2-40B4-BE49-F238E27FC236}">
              <a16:creationId xmlns:a16="http://schemas.microsoft.com/office/drawing/2014/main" id="{1B884CF9-78F8-833D-91F2-7AFCD740EA7B}"/>
            </a:ext>
          </a:extLst>
        </xdr:cNvPr>
        <xdr:cNvSpPr>
          <a:spLocks noChangeArrowheads="1" noChangeShapeType="1" noTextEdit="1"/>
        </xdr:cNvSpPr>
      </xdr:nvSpPr>
      <xdr:spPr bwMode="auto">
        <a:xfrm>
          <a:off x="1363980" y="266700"/>
          <a:ext cx="3261360" cy="39624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How to Use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891540</xdr:colOff>
      <xdr:row>0</xdr:row>
      <xdr:rowOff>99060</xdr:rowOff>
    </xdr:from>
    <xdr:to>
      <xdr:col>1</xdr:col>
      <xdr:colOff>3383280</xdr:colOff>
      <xdr:row>3</xdr:row>
      <xdr:rowOff>99060</xdr:rowOff>
    </xdr:to>
    <xdr:sp macro="" textlink="">
      <xdr:nvSpPr>
        <xdr:cNvPr id="22529" name="WordArt 1">
          <a:extLst>
            <a:ext uri="{FF2B5EF4-FFF2-40B4-BE49-F238E27FC236}">
              <a16:creationId xmlns:a16="http://schemas.microsoft.com/office/drawing/2014/main" id="{5B4DE8A9-E6B7-2169-7EA2-5355792BFAC4}"/>
            </a:ext>
          </a:extLst>
        </xdr:cNvPr>
        <xdr:cNvSpPr>
          <a:spLocks noChangeArrowheads="1" noChangeShapeType="1" noTextEdit="1"/>
        </xdr:cNvSpPr>
      </xdr:nvSpPr>
      <xdr:spPr bwMode="auto">
        <a:xfrm>
          <a:off x="1165860" y="99060"/>
          <a:ext cx="2491740" cy="50292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xdr:colOff>
      <xdr:row>5</xdr:row>
      <xdr:rowOff>38100</xdr:rowOff>
    </xdr:from>
    <xdr:to>
      <xdr:col>15</xdr:col>
      <xdr:colOff>312420</xdr:colOff>
      <xdr:row>20</xdr:row>
      <xdr:rowOff>152400</xdr:rowOff>
    </xdr:to>
    <xdr:graphicFrame macro="">
      <xdr:nvGraphicFramePr>
        <xdr:cNvPr id="9217" name="Wykres 1">
          <a:extLst>
            <a:ext uri="{FF2B5EF4-FFF2-40B4-BE49-F238E27FC236}">
              <a16:creationId xmlns:a16="http://schemas.microsoft.com/office/drawing/2014/main" id="{EBC7E57C-0A0E-A646-EAC8-DDB22DFFC8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411480</xdr:colOff>
      <xdr:row>3</xdr:row>
      <xdr:rowOff>68580</xdr:rowOff>
    </xdr:from>
    <xdr:to>
      <xdr:col>1</xdr:col>
      <xdr:colOff>7620</xdr:colOff>
      <xdr:row>30</xdr:row>
      <xdr:rowOff>205740</xdr:rowOff>
    </xdr:to>
    <xdr:sp macro="" textlink="">
      <xdr:nvSpPr>
        <xdr:cNvPr id="9219" name="Oval 3">
          <a:extLst>
            <a:ext uri="{FF2B5EF4-FFF2-40B4-BE49-F238E27FC236}">
              <a16:creationId xmlns:a16="http://schemas.microsoft.com/office/drawing/2014/main" id="{713054C6-4EFA-5D71-521E-B5A56D10BC29}"/>
            </a:ext>
          </a:extLst>
        </xdr:cNvPr>
        <xdr:cNvSpPr>
          <a:spLocks noChangeArrowheads="1"/>
        </xdr:cNvSpPr>
      </xdr:nvSpPr>
      <xdr:spPr bwMode="auto">
        <a:xfrm>
          <a:off x="411480" y="571500"/>
          <a:ext cx="121920" cy="483108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30480</xdr:colOff>
      <xdr:row>26</xdr:row>
      <xdr:rowOff>68580</xdr:rowOff>
    </xdr:from>
    <xdr:to>
      <xdr:col>2</xdr:col>
      <xdr:colOff>464820</xdr:colOff>
      <xdr:row>28</xdr:row>
      <xdr:rowOff>68580</xdr:rowOff>
    </xdr:to>
    <xdr:sp macro="" textlink="">
      <xdr:nvSpPr>
        <xdr:cNvPr id="9220" name="Line 4">
          <a:extLst>
            <a:ext uri="{FF2B5EF4-FFF2-40B4-BE49-F238E27FC236}">
              <a16:creationId xmlns:a16="http://schemas.microsoft.com/office/drawing/2014/main" id="{B9DA0018-F123-26A3-F920-93F9236F8D61}"/>
            </a:ext>
          </a:extLst>
        </xdr:cNvPr>
        <xdr:cNvSpPr>
          <a:spLocks noChangeShapeType="1"/>
        </xdr:cNvSpPr>
      </xdr:nvSpPr>
      <xdr:spPr bwMode="auto">
        <a:xfrm flipH="1" flipV="1">
          <a:off x="556260" y="4671060"/>
          <a:ext cx="1684020" cy="3200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487680</xdr:colOff>
      <xdr:row>28</xdr:row>
      <xdr:rowOff>68580</xdr:rowOff>
    </xdr:from>
    <xdr:to>
      <xdr:col>2</xdr:col>
      <xdr:colOff>487680</xdr:colOff>
      <xdr:row>30</xdr:row>
      <xdr:rowOff>106680</xdr:rowOff>
    </xdr:to>
    <xdr:sp macro="" textlink="">
      <xdr:nvSpPr>
        <xdr:cNvPr id="9221" name="Line 5">
          <a:extLst>
            <a:ext uri="{FF2B5EF4-FFF2-40B4-BE49-F238E27FC236}">
              <a16:creationId xmlns:a16="http://schemas.microsoft.com/office/drawing/2014/main" id="{64023DF1-3F2C-F59B-EEBC-A42E81154C1C}"/>
            </a:ext>
          </a:extLst>
        </xdr:cNvPr>
        <xdr:cNvSpPr>
          <a:spLocks noChangeShapeType="1"/>
        </xdr:cNvSpPr>
      </xdr:nvSpPr>
      <xdr:spPr bwMode="auto">
        <a:xfrm flipV="1">
          <a:off x="2263140" y="4991100"/>
          <a:ext cx="0" cy="3581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182880</xdr:colOff>
      <xdr:row>30</xdr:row>
      <xdr:rowOff>45720</xdr:rowOff>
    </xdr:from>
    <xdr:to>
      <xdr:col>2</xdr:col>
      <xdr:colOff>464820</xdr:colOff>
      <xdr:row>30</xdr:row>
      <xdr:rowOff>114300</xdr:rowOff>
    </xdr:to>
    <xdr:sp macro="" textlink="">
      <xdr:nvSpPr>
        <xdr:cNvPr id="9222" name="Line 6">
          <a:extLst>
            <a:ext uri="{FF2B5EF4-FFF2-40B4-BE49-F238E27FC236}">
              <a16:creationId xmlns:a16="http://schemas.microsoft.com/office/drawing/2014/main" id="{179F4039-CFBF-C26E-50C6-FD3FC80F5192}"/>
            </a:ext>
          </a:extLst>
        </xdr:cNvPr>
        <xdr:cNvSpPr>
          <a:spLocks noChangeShapeType="1"/>
        </xdr:cNvSpPr>
      </xdr:nvSpPr>
      <xdr:spPr bwMode="auto">
        <a:xfrm>
          <a:off x="708660" y="5288280"/>
          <a:ext cx="1531620" cy="685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29</xdr:row>
      <xdr:rowOff>0</xdr:rowOff>
    </xdr:from>
    <xdr:to>
      <xdr:col>1</xdr:col>
      <xdr:colOff>190500</xdr:colOff>
      <xdr:row>30</xdr:row>
      <xdr:rowOff>53340</xdr:rowOff>
    </xdr:to>
    <xdr:sp macro="" textlink="">
      <xdr:nvSpPr>
        <xdr:cNvPr id="9223" name="Line 7">
          <a:extLst>
            <a:ext uri="{FF2B5EF4-FFF2-40B4-BE49-F238E27FC236}">
              <a16:creationId xmlns:a16="http://schemas.microsoft.com/office/drawing/2014/main" id="{1A3CE05C-2695-02A3-BF68-A7D739571997}"/>
            </a:ext>
          </a:extLst>
        </xdr:cNvPr>
        <xdr:cNvSpPr>
          <a:spLocks noChangeShapeType="1"/>
        </xdr:cNvSpPr>
      </xdr:nvSpPr>
      <xdr:spPr bwMode="auto">
        <a:xfrm>
          <a:off x="525780" y="5082540"/>
          <a:ext cx="190500" cy="2133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10</xdr:row>
      <xdr:rowOff>68580</xdr:rowOff>
    </xdr:from>
    <xdr:to>
      <xdr:col>3</xdr:col>
      <xdr:colOff>944880</xdr:colOff>
      <xdr:row>11</xdr:row>
      <xdr:rowOff>38100</xdr:rowOff>
    </xdr:to>
    <xdr:sp macro="" textlink="">
      <xdr:nvSpPr>
        <xdr:cNvPr id="9224" name="Line 8">
          <a:extLst>
            <a:ext uri="{FF2B5EF4-FFF2-40B4-BE49-F238E27FC236}">
              <a16:creationId xmlns:a16="http://schemas.microsoft.com/office/drawing/2014/main" id="{A47F41D7-F3F6-5245-9065-C1A8DD999AB2}"/>
            </a:ext>
          </a:extLst>
        </xdr:cNvPr>
        <xdr:cNvSpPr>
          <a:spLocks noChangeShapeType="1"/>
        </xdr:cNvSpPr>
      </xdr:nvSpPr>
      <xdr:spPr bwMode="auto">
        <a:xfrm flipH="1" flipV="1">
          <a:off x="533400" y="1706880"/>
          <a:ext cx="2788920" cy="1295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11</xdr:row>
      <xdr:rowOff>45720</xdr:rowOff>
    </xdr:from>
    <xdr:to>
      <xdr:col>4</xdr:col>
      <xdr:colOff>0</xdr:colOff>
      <xdr:row>15</xdr:row>
      <xdr:rowOff>0</xdr:rowOff>
    </xdr:to>
    <xdr:sp macro="" textlink="">
      <xdr:nvSpPr>
        <xdr:cNvPr id="9225" name="Line 9">
          <a:extLst>
            <a:ext uri="{FF2B5EF4-FFF2-40B4-BE49-F238E27FC236}">
              <a16:creationId xmlns:a16="http://schemas.microsoft.com/office/drawing/2014/main" id="{02A260DB-757A-430A-3FFC-CDA51C381978}"/>
            </a:ext>
          </a:extLst>
        </xdr:cNvPr>
        <xdr:cNvSpPr>
          <a:spLocks noChangeShapeType="1"/>
        </xdr:cNvSpPr>
      </xdr:nvSpPr>
      <xdr:spPr bwMode="auto">
        <a:xfrm flipV="1">
          <a:off x="3322320" y="1844040"/>
          <a:ext cx="0" cy="5943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30480</xdr:colOff>
      <xdr:row>11</xdr:row>
      <xdr:rowOff>152400</xdr:rowOff>
    </xdr:from>
    <xdr:to>
      <xdr:col>7</xdr:col>
      <xdr:colOff>30480</xdr:colOff>
      <xdr:row>14</xdr:row>
      <xdr:rowOff>152400</xdr:rowOff>
    </xdr:to>
    <xdr:sp macro="" textlink="">
      <xdr:nvSpPr>
        <xdr:cNvPr id="9226" name="Line 10">
          <a:extLst>
            <a:ext uri="{FF2B5EF4-FFF2-40B4-BE49-F238E27FC236}">
              <a16:creationId xmlns:a16="http://schemas.microsoft.com/office/drawing/2014/main" id="{1A0F1FA0-3E5E-9FE3-11FD-09099795CCA7}"/>
            </a:ext>
          </a:extLst>
        </xdr:cNvPr>
        <xdr:cNvSpPr>
          <a:spLocks noChangeShapeType="1"/>
        </xdr:cNvSpPr>
      </xdr:nvSpPr>
      <xdr:spPr bwMode="auto">
        <a:xfrm flipV="1">
          <a:off x="5440680" y="1950720"/>
          <a:ext cx="0" cy="4800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22860</xdr:colOff>
      <xdr:row>11</xdr:row>
      <xdr:rowOff>38100</xdr:rowOff>
    </xdr:from>
    <xdr:to>
      <xdr:col>7</xdr:col>
      <xdr:colOff>45720</xdr:colOff>
      <xdr:row>11</xdr:row>
      <xdr:rowOff>152400</xdr:rowOff>
    </xdr:to>
    <xdr:sp macro="" textlink="">
      <xdr:nvSpPr>
        <xdr:cNvPr id="9231" name="Line 15">
          <a:extLst>
            <a:ext uri="{FF2B5EF4-FFF2-40B4-BE49-F238E27FC236}">
              <a16:creationId xmlns:a16="http://schemas.microsoft.com/office/drawing/2014/main" id="{7BAC889A-7F35-E7D9-0543-31592865FC64}"/>
            </a:ext>
          </a:extLst>
        </xdr:cNvPr>
        <xdr:cNvSpPr>
          <a:spLocks noChangeShapeType="1"/>
        </xdr:cNvSpPr>
      </xdr:nvSpPr>
      <xdr:spPr bwMode="auto">
        <a:xfrm>
          <a:off x="3345180" y="1836420"/>
          <a:ext cx="2110740" cy="114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xdr:row>
      <xdr:rowOff>53340</xdr:rowOff>
    </xdr:from>
    <xdr:to>
      <xdr:col>8</xdr:col>
      <xdr:colOff>0</xdr:colOff>
      <xdr:row>15</xdr:row>
      <xdr:rowOff>0</xdr:rowOff>
    </xdr:to>
    <xdr:sp macro="" textlink="">
      <xdr:nvSpPr>
        <xdr:cNvPr id="9232" name="Line 16">
          <a:extLst>
            <a:ext uri="{FF2B5EF4-FFF2-40B4-BE49-F238E27FC236}">
              <a16:creationId xmlns:a16="http://schemas.microsoft.com/office/drawing/2014/main" id="{EA101D3B-61EA-6468-2E24-D78D04AF1F6B}"/>
            </a:ext>
          </a:extLst>
        </xdr:cNvPr>
        <xdr:cNvSpPr>
          <a:spLocks noChangeShapeType="1"/>
        </xdr:cNvSpPr>
      </xdr:nvSpPr>
      <xdr:spPr bwMode="auto">
        <a:xfrm flipV="1">
          <a:off x="6324600" y="2011680"/>
          <a:ext cx="0" cy="4267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15240</xdr:colOff>
      <xdr:row>11</xdr:row>
      <xdr:rowOff>152400</xdr:rowOff>
    </xdr:from>
    <xdr:to>
      <xdr:col>8</xdr:col>
      <xdr:colOff>0</xdr:colOff>
      <xdr:row>12</xdr:row>
      <xdr:rowOff>53340</xdr:rowOff>
    </xdr:to>
    <xdr:sp macro="" textlink="">
      <xdr:nvSpPr>
        <xdr:cNvPr id="9233" name="Line 17">
          <a:extLst>
            <a:ext uri="{FF2B5EF4-FFF2-40B4-BE49-F238E27FC236}">
              <a16:creationId xmlns:a16="http://schemas.microsoft.com/office/drawing/2014/main" id="{4F727DAF-ADF4-266A-3C6F-74EE1725905E}"/>
            </a:ext>
          </a:extLst>
        </xdr:cNvPr>
        <xdr:cNvSpPr>
          <a:spLocks noChangeShapeType="1"/>
        </xdr:cNvSpPr>
      </xdr:nvSpPr>
      <xdr:spPr bwMode="auto">
        <a:xfrm>
          <a:off x="5425440" y="1950720"/>
          <a:ext cx="899160" cy="609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762000</xdr:colOff>
      <xdr:row>38</xdr:row>
      <xdr:rowOff>38100</xdr:rowOff>
    </xdr:from>
    <xdr:to>
      <xdr:col>3</xdr:col>
      <xdr:colOff>899160</xdr:colOff>
      <xdr:row>39</xdr:row>
      <xdr:rowOff>144780</xdr:rowOff>
    </xdr:to>
    <xdr:sp macro="" textlink="">
      <xdr:nvSpPr>
        <xdr:cNvPr id="9246" name="Line 30">
          <a:extLst>
            <a:ext uri="{FF2B5EF4-FFF2-40B4-BE49-F238E27FC236}">
              <a16:creationId xmlns:a16="http://schemas.microsoft.com/office/drawing/2014/main" id="{85C203DF-087C-9F83-BFA5-27251701771D}"/>
            </a:ext>
          </a:extLst>
        </xdr:cNvPr>
        <xdr:cNvSpPr>
          <a:spLocks noChangeShapeType="1"/>
        </xdr:cNvSpPr>
      </xdr:nvSpPr>
      <xdr:spPr bwMode="auto">
        <a:xfrm flipV="1">
          <a:off x="525780" y="6720840"/>
          <a:ext cx="2796540" cy="274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34</xdr:row>
      <xdr:rowOff>236220</xdr:rowOff>
    </xdr:from>
    <xdr:to>
      <xdr:col>7</xdr:col>
      <xdr:colOff>0</xdr:colOff>
      <xdr:row>38</xdr:row>
      <xdr:rowOff>45720</xdr:rowOff>
    </xdr:to>
    <xdr:sp macro="" textlink="">
      <xdr:nvSpPr>
        <xdr:cNvPr id="9247" name="Line 31">
          <a:extLst>
            <a:ext uri="{FF2B5EF4-FFF2-40B4-BE49-F238E27FC236}">
              <a16:creationId xmlns:a16="http://schemas.microsoft.com/office/drawing/2014/main" id="{4C8BDA92-1FE9-962D-0428-FD1253FD1D46}"/>
            </a:ext>
          </a:extLst>
        </xdr:cNvPr>
        <xdr:cNvSpPr>
          <a:spLocks noChangeShapeType="1"/>
        </xdr:cNvSpPr>
      </xdr:nvSpPr>
      <xdr:spPr bwMode="auto">
        <a:xfrm flipV="1">
          <a:off x="3322320" y="6141720"/>
          <a:ext cx="2087880" cy="5867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33</xdr:row>
      <xdr:rowOff>7620</xdr:rowOff>
    </xdr:from>
    <xdr:to>
      <xdr:col>7</xdr:col>
      <xdr:colOff>876300</xdr:colOff>
      <xdr:row>34</xdr:row>
      <xdr:rowOff>220980</xdr:rowOff>
    </xdr:to>
    <xdr:sp macro="" textlink="">
      <xdr:nvSpPr>
        <xdr:cNvPr id="9248" name="Line 32">
          <a:extLst>
            <a:ext uri="{FF2B5EF4-FFF2-40B4-BE49-F238E27FC236}">
              <a16:creationId xmlns:a16="http://schemas.microsoft.com/office/drawing/2014/main" id="{434092AD-C2F9-B075-EC1D-1E830E9F3709}"/>
            </a:ext>
          </a:extLst>
        </xdr:cNvPr>
        <xdr:cNvSpPr>
          <a:spLocks noChangeShapeType="1"/>
        </xdr:cNvSpPr>
      </xdr:nvSpPr>
      <xdr:spPr bwMode="auto">
        <a:xfrm flipV="1">
          <a:off x="5410200" y="5745480"/>
          <a:ext cx="876300"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891540</xdr:colOff>
      <xdr:row>37</xdr:row>
      <xdr:rowOff>91440</xdr:rowOff>
    </xdr:from>
    <xdr:to>
      <xdr:col>3</xdr:col>
      <xdr:colOff>891540</xdr:colOff>
      <xdr:row>39</xdr:row>
      <xdr:rowOff>144780</xdr:rowOff>
    </xdr:to>
    <xdr:sp macro="" textlink="">
      <xdr:nvSpPr>
        <xdr:cNvPr id="9249" name="Line 33">
          <a:extLst>
            <a:ext uri="{FF2B5EF4-FFF2-40B4-BE49-F238E27FC236}">
              <a16:creationId xmlns:a16="http://schemas.microsoft.com/office/drawing/2014/main" id="{40DEA53E-1AAA-7F03-A05F-2C2F98CD3F35}"/>
            </a:ext>
          </a:extLst>
        </xdr:cNvPr>
        <xdr:cNvSpPr>
          <a:spLocks noChangeShapeType="1"/>
        </xdr:cNvSpPr>
      </xdr:nvSpPr>
      <xdr:spPr bwMode="auto">
        <a:xfrm>
          <a:off x="3322320" y="6606540"/>
          <a:ext cx="0" cy="388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34</xdr:row>
      <xdr:rowOff>175260</xdr:rowOff>
    </xdr:from>
    <xdr:to>
      <xdr:col>7</xdr:col>
      <xdr:colOff>0</xdr:colOff>
      <xdr:row>39</xdr:row>
      <xdr:rowOff>160020</xdr:rowOff>
    </xdr:to>
    <xdr:sp macro="" textlink="">
      <xdr:nvSpPr>
        <xdr:cNvPr id="9250" name="Line 34">
          <a:extLst>
            <a:ext uri="{FF2B5EF4-FFF2-40B4-BE49-F238E27FC236}">
              <a16:creationId xmlns:a16="http://schemas.microsoft.com/office/drawing/2014/main" id="{E65E8651-1714-8DC7-B05F-46B6D9203515}"/>
            </a:ext>
          </a:extLst>
        </xdr:cNvPr>
        <xdr:cNvSpPr>
          <a:spLocks noChangeShapeType="1"/>
        </xdr:cNvSpPr>
      </xdr:nvSpPr>
      <xdr:spPr bwMode="auto">
        <a:xfrm>
          <a:off x="5410200" y="6080760"/>
          <a:ext cx="0" cy="9296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876300</xdr:colOff>
      <xdr:row>32</xdr:row>
      <xdr:rowOff>160020</xdr:rowOff>
    </xdr:from>
    <xdr:to>
      <xdr:col>7</xdr:col>
      <xdr:colOff>876300</xdr:colOff>
      <xdr:row>39</xdr:row>
      <xdr:rowOff>144780</xdr:rowOff>
    </xdr:to>
    <xdr:sp macro="" textlink="">
      <xdr:nvSpPr>
        <xdr:cNvPr id="9251" name="Line 35">
          <a:extLst>
            <a:ext uri="{FF2B5EF4-FFF2-40B4-BE49-F238E27FC236}">
              <a16:creationId xmlns:a16="http://schemas.microsoft.com/office/drawing/2014/main" id="{DCB1429F-3274-E696-7B80-5AED917E3BAF}"/>
            </a:ext>
          </a:extLst>
        </xdr:cNvPr>
        <xdr:cNvSpPr>
          <a:spLocks noChangeShapeType="1"/>
        </xdr:cNvSpPr>
      </xdr:nvSpPr>
      <xdr:spPr bwMode="auto">
        <a:xfrm>
          <a:off x="6286500" y="5730240"/>
          <a:ext cx="0" cy="12649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739140</xdr:colOff>
      <xdr:row>37</xdr:row>
      <xdr:rowOff>91440</xdr:rowOff>
    </xdr:from>
    <xdr:to>
      <xdr:col>3</xdr:col>
      <xdr:colOff>891540</xdr:colOff>
      <xdr:row>39</xdr:row>
      <xdr:rowOff>7620</xdr:rowOff>
    </xdr:to>
    <xdr:sp macro="" textlink="">
      <xdr:nvSpPr>
        <xdr:cNvPr id="9252" name="Line 36">
          <a:extLst>
            <a:ext uri="{FF2B5EF4-FFF2-40B4-BE49-F238E27FC236}">
              <a16:creationId xmlns:a16="http://schemas.microsoft.com/office/drawing/2014/main" id="{61EFE715-7092-5236-6D1B-171A703F877A}"/>
            </a:ext>
          </a:extLst>
        </xdr:cNvPr>
        <xdr:cNvSpPr>
          <a:spLocks noChangeShapeType="1"/>
        </xdr:cNvSpPr>
      </xdr:nvSpPr>
      <xdr:spPr bwMode="auto">
        <a:xfrm flipV="1">
          <a:off x="525780" y="6606540"/>
          <a:ext cx="2796540" cy="2514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34</xdr:row>
      <xdr:rowOff>160020</xdr:rowOff>
    </xdr:from>
    <xdr:to>
      <xdr:col>7</xdr:col>
      <xdr:colOff>0</xdr:colOff>
      <xdr:row>37</xdr:row>
      <xdr:rowOff>76200</xdr:rowOff>
    </xdr:to>
    <xdr:sp macro="" textlink="">
      <xdr:nvSpPr>
        <xdr:cNvPr id="9253" name="Line 37">
          <a:extLst>
            <a:ext uri="{FF2B5EF4-FFF2-40B4-BE49-F238E27FC236}">
              <a16:creationId xmlns:a16="http://schemas.microsoft.com/office/drawing/2014/main" id="{0EC5FB22-5235-3020-B6EF-96DE05257757}"/>
            </a:ext>
          </a:extLst>
        </xdr:cNvPr>
        <xdr:cNvSpPr>
          <a:spLocks noChangeShapeType="1"/>
        </xdr:cNvSpPr>
      </xdr:nvSpPr>
      <xdr:spPr bwMode="auto">
        <a:xfrm flipV="1">
          <a:off x="3322320" y="6065520"/>
          <a:ext cx="2087880" cy="5257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32</xdr:row>
      <xdr:rowOff>144780</xdr:rowOff>
    </xdr:from>
    <xdr:to>
      <xdr:col>7</xdr:col>
      <xdr:colOff>868680</xdr:colOff>
      <xdr:row>34</xdr:row>
      <xdr:rowOff>152400</xdr:rowOff>
    </xdr:to>
    <xdr:sp macro="" textlink="">
      <xdr:nvSpPr>
        <xdr:cNvPr id="9254" name="Line 38">
          <a:extLst>
            <a:ext uri="{FF2B5EF4-FFF2-40B4-BE49-F238E27FC236}">
              <a16:creationId xmlns:a16="http://schemas.microsoft.com/office/drawing/2014/main" id="{A1D3E276-9CEF-768E-6A49-89B320A34CA2}"/>
            </a:ext>
          </a:extLst>
        </xdr:cNvPr>
        <xdr:cNvSpPr>
          <a:spLocks noChangeShapeType="1"/>
        </xdr:cNvSpPr>
      </xdr:nvSpPr>
      <xdr:spPr bwMode="auto">
        <a:xfrm flipV="1">
          <a:off x="5410200" y="5715000"/>
          <a:ext cx="86868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754380</xdr:colOff>
      <xdr:row>39</xdr:row>
      <xdr:rowOff>7620</xdr:rowOff>
    </xdr:from>
    <xdr:to>
      <xdr:col>0</xdr:col>
      <xdr:colOff>480060</xdr:colOff>
      <xdr:row>39</xdr:row>
      <xdr:rowOff>144780</xdr:rowOff>
    </xdr:to>
    <xdr:sp macro="" textlink="">
      <xdr:nvSpPr>
        <xdr:cNvPr id="9256" name="Line 40">
          <a:extLst>
            <a:ext uri="{FF2B5EF4-FFF2-40B4-BE49-F238E27FC236}">
              <a16:creationId xmlns:a16="http://schemas.microsoft.com/office/drawing/2014/main" id="{26D86A9F-93F6-22C1-38B8-925347CD243C}"/>
            </a:ext>
          </a:extLst>
        </xdr:cNvPr>
        <xdr:cNvSpPr>
          <a:spLocks noChangeShapeType="1"/>
        </xdr:cNvSpPr>
      </xdr:nvSpPr>
      <xdr:spPr bwMode="auto">
        <a:xfrm>
          <a:off x="525780" y="6858000"/>
          <a:ext cx="0" cy="1371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541020</xdr:colOff>
      <xdr:row>39</xdr:row>
      <xdr:rowOff>144780</xdr:rowOff>
    </xdr:from>
    <xdr:to>
      <xdr:col>8</xdr:col>
      <xdr:colOff>83820</xdr:colOff>
      <xdr:row>39</xdr:row>
      <xdr:rowOff>144780</xdr:rowOff>
    </xdr:to>
    <xdr:sp macro="" textlink="">
      <xdr:nvSpPr>
        <xdr:cNvPr id="9260" name="Line 44">
          <a:extLst>
            <a:ext uri="{FF2B5EF4-FFF2-40B4-BE49-F238E27FC236}">
              <a16:creationId xmlns:a16="http://schemas.microsoft.com/office/drawing/2014/main" id="{3CF6404F-547B-82BA-D744-5DAE586DBDA9}"/>
            </a:ext>
          </a:extLst>
        </xdr:cNvPr>
        <xdr:cNvSpPr>
          <a:spLocks noChangeShapeType="1"/>
        </xdr:cNvSpPr>
      </xdr:nvSpPr>
      <xdr:spPr bwMode="auto">
        <a:xfrm flipH="1">
          <a:off x="525780" y="6995160"/>
          <a:ext cx="58826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533400</xdr:colOff>
      <xdr:row>28</xdr:row>
      <xdr:rowOff>144780</xdr:rowOff>
    </xdr:from>
    <xdr:to>
      <xdr:col>15</xdr:col>
      <xdr:colOff>205740</xdr:colOff>
      <xdr:row>39</xdr:row>
      <xdr:rowOff>137160</xdr:rowOff>
    </xdr:to>
    <xdr:graphicFrame macro="">
      <xdr:nvGraphicFramePr>
        <xdr:cNvPr id="9261" name="Wykres 45">
          <a:extLst>
            <a:ext uri="{FF2B5EF4-FFF2-40B4-BE49-F238E27FC236}">
              <a16:creationId xmlns:a16="http://schemas.microsoft.com/office/drawing/2014/main" id="{CBF13365-3B01-00E6-371E-00F1F97A6C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411480</xdr:colOff>
      <xdr:row>1</xdr:row>
      <xdr:rowOff>7620</xdr:rowOff>
    </xdr:from>
    <xdr:to>
      <xdr:col>7</xdr:col>
      <xdr:colOff>76200</xdr:colOff>
      <xdr:row>5</xdr:row>
      <xdr:rowOff>30480</xdr:rowOff>
    </xdr:to>
    <xdr:sp macro="" textlink="">
      <xdr:nvSpPr>
        <xdr:cNvPr id="9262" name="WordArt 46">
          <a:extLst>
            <a:ext uri="{FF2B5EF4-FFF2-40B4-BE49-F238E27FC236}">
              <a16:creationId xmlns:a16="http://schemas.microsoft.com/office/drawing/2014/main" id="{4742BEB5-1400-40CC-C2E5-90743BE9F451}"/>
            </a:ext>
          </a:extLst>
        </xdr:cNvPr>
        <xdr:cNvSpPr>
          <a:spLocks noChangeArrowheads="1" noChangeShapeType="1" noTextEdit="1"/>
        </xdr:cNvSpPr>
      </xdr:nvSpPr>
      <xdr:spPr bwMode="auto">
        <a:xfrm>
          <a:off x="2865120" y="175260"/>
          <a:ext cx="2621280" cy="69342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Wing</a:t>
          </a:r>
        </a:p>
      </xdr:txBody>
    </xdr:sp>
    <xdr:clientData/>
  </xdr:twoCellAnchor>
  <xdr:twoCellAnchor>
    <xdr:from>
      <xdr:col>3</xdr:col>
      <xdr:colOff>198120</xdr:colOff>
      <xdr:row>33</xdr:row>
      <xdr:rowOff>121920</xdr:rowOff>
    </xdr:from>
    <xdr:to>
      <xdr:col>5</xdr:col>
      <xdr:colOff>259080</xdr:colOff>
      <xdr:row>34</xdr:row>
      <xdr:rowOff>236220</xdr:rowOff>
    </xdr:to>
    <xdr:sp macro="" textlink="">
      <xdr:nvSpPr>
        <xdr:cNvPr id="9263" name="WordArt 47">
          <a:extLst>
            <a:ext uri="{FF2B5EF4-FFF2-40B4-BE49-F238E27FC236}">
              <a16:creationId xmlns:a16="http://schemas.microsoft.com/office/drawing/2014/main" id="{D18C2B5B-BFE8-A47C-CD56-571AF0667377}"/>
            </a:ext>
          </a:extLst>
        </xdr:cNvPr>
        <xdr:cNvSpPr>
          <a:spLocks noChangeArrowheads="1" noChangeShapeType="1" noTextEdit="1"/>
        </xdr:cNvSpPr>
      </xdr:nvSpPr>
      <xdr:spPr bwMode="auto">
        <a:xfrm>
          <a:off x="2651760" y="5859780"/>
          <a:ext cx="1386840" cy="281940"/>
        </a:xfrm>
        <a:prstGeom prst="rect">
          <a:avLst/>
        </a:prstGeom>
      </xdr:spPr>
      <xdr:txBody>
        <a:bodyPr wrap="none" fromWordArt="1">
          <a:prstTxWarp prst="textPlain">
            <a:avLst>
              <a:gd name="adj" fmla="val 50000"/>
            </a:avLst>
          </a:prstTxWarp>
        </a:bodyPr>
        <a:lstStyle/>
        <a:p>
          <a:pPr algn="ctr" rtl="0">
            <a:buNone/>
          </a:pPr>
          <a:r>
            <a:rPr lang="pl-PL" sz="9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Dihedral</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38100</xdr:colOff>
      <xdr:row>4</xdr:row>
      <xdr:rowOff>99060</xdr:rowOff>
    </xdr:from>
    <xdr:to>
      <xdr:col>9</xdr:col>
      <xdr:colOff>434340</xdr:colOff>
      <xdr:row>17</xdr:row>
      <xdr:rowOff>0</xdr:rowOff>
    </xdr:to>
    <xdr:graphicFrame macro="">
      <xdr:nvGraphicFramePr>
        <xdr:cNvPr id="2049" name="Wykres 1">
          <a:extLst>
            <a:ext uri="{FF2B5EF4-FFF2-40B4-BE49-F238E27FC236}">
              <a16:creationId xmlns:a16="http://schemas.microsoft.com/office/drawing/2014/main" id="{6693AF49-6AE2-A3E9-CD1A-A7C2C0B2D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9</xdr:row>
      <xdr:rowOff>137160</xdr:rowOff>
    </xdr:from>
    <xdr:to>
      <xdr:col>4</xdr:col>
      <xdr:colOff>0</xdr:colOff>
      <xdr:row>13</xdr:row>
      <xdr:rowOff>0</xdr:rowOff>
    </xdr:to>
    <xdr:sp macro="" textlink="">
      <xdr:nvSpPr>
        <xdr:cNvPr id="2051" name="Line 3">
          <a:extLst>
            <a:ext uri="{FF2B5EF4-FFF2-40B4-BE49-F238E27FC236}">
              <a16:creationId xmlns:a16="http://schemas.microsoft.com/office/drawing/2014/main" id="{C45B54CA-474A-7D74-5746-B04A1E844E60}"/>
            </a:ext>
          </a:extLst>
        </xdr:cNvPr>
        <xdr:cNvSpPr>
          <a:spLocks noChangeShapeType="1"/>
        </xdr:cNvSpPr>
      </xdr:nvSpPr>
      <xdr:spPr bwMode="auto">
        <a:xfrm flipV="1">
          <a:off x="2743200" y="1661160"/>
          <a:ext cx="0" cy="5105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0</xdr:rowOff>
    </xdr:from>
    <xdr:to>
      <xdr:col>4</xdr:col>
      <xdr:colOff>0</xdr:colOff>
      <xdr:row>9</xdr:row>
      <xdr:rowOff>144780</xdr:rowOff>
    </xdr:to>
    <xdr:sp macro="" textlink="">
      <xdr:nvSpPr>
        <xdr:cNvPr id="2052" name="Line 4">
          <a:extLst>
            <a:ext uri="{FF2B5EF4-FFF2-40B4-BE49-F238E27FC236}">
              <a16:creationId xmlns:a16="http://schemas.microsoft.com/office/drawing/2014/main" id="{C82E2E10-7733-BA91-8438-9A833F99A478}"/>
            </a:ext>
          </a:extLst>
        </xdr:cNvPr>
        <xdr:cNvSpPr>
          <a:spLocks noChangeShapeType="1"/>
        </xdr:cNvSpPr>
      </xdr:nvSpPr>
      <xdr:spPr bwMode="auto">
        <a:xfrm flipH="1" flipV="1">
          <a:off x="266700" y="1363980"/>
          <a:ext cx="247650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190500</xdr:colOff>
      <xdr:row>4</xdr:row>
      <xdr:rowOff>129540</xdr:rowOff>
    </xdr:from>
    <xdr:to>
      <xdr:col>1</xdr:col>
      <xdr:colOff>7620</xdr:colOff>
      <xdr:row>15</xdr:row>
      <xdr:rowOff>160020</xdr:rowOff>
    </xdr:to>
    <xdr:grpSp>
      <xdr:nvGrpSpPr>
        <xdr:cNvPr id="2070" name="Group 22">
          <a:extLst>
            <a:ext uri="{FF2B5EF4-FFF2-40B4-BE49-F238E27FC236}">
              <a16:creationId xmlns:a16="http://schemas.microsoft.com/office/drawing/2014/main" id="{19D551E2-B386-5DC1-B557-9A70643A1A3B}"/>
            </a:ext>
          </a:extLst>
        </xdr:cNvPr>
        <xdr:cNvGrpSpPr>
          <a:grpSpLocks/>
        </xdr:cNvGrpSpPr>
      </xdr:nvGrpSpPr>
      <xdr:grpSpPr bwMode="auto">
        <a:xfrm>
          <a:off x="190500" y="800100"/>
          <a:ext cx="83820" cy="1866900"/>
          <a:chOff x="37" y="34"/>
          <a:chExt cx="17" cy="209"/>
        </a:xfrm>
      </xdr:grpSpPr>
      <xdr:sp macro="" textlink="">
        <xdr:nvSpPr>
          <xdr:cNvPr id="2066" name="Arc 18">
            <a:extLst>
              <a:ext uri="{FF2B5EF4-FFF2-40B4-BE49-F238E27FC236}">
                <a16:creationId xmlns:a16="http://schemas.microsoft.com/office/drawing/2014/main" id="{788F1EEC-EB7C-EFA0-8047-9C18C6B48278}"/>
              </a:ext>
            </a:extLst>
          </xdr:cNvPr>
          <xdr:cNvSpPr>
            <a:spLocks/>
          </xdr:cNvSpPr>
        </xdr:nvSpPr>
        <xdr:spPr bwMode="auto">
          <a:xfrm flipH="1" flipV="1">
            <a:off x="37" y="34"/>
            <a:ext cx="8" cy="208"/>
          </a:xfrm>
          <a:custGeom>
            <a:avLst/>
            <a:gdLst>
              <a:gd name="G0" fmla="+- 0 0 0"/>
              <a:gd name="G1" fmla="+- 21600 0 0"/>
              <a:gd name="G2" fmla="+- 21600 0 0"/>
              <a:gd name="T0" fmla="*/ 0 w 21600"/>
              <a:gd name="T1" fmla="*/ 0 h 21600"/>
              <a:gd name="T2" fmla="*/ 21600 w 21600"/>
              <a:gd name="T3" fmla="*/ 21600 h 21600"/>
              <a:gd name="T4" fmla="*/ 0 w 21600"/>
              <a:gd name="T5" fmla="*/ 21600 h 21600"/>
            </a:gdLst>
            <a:ahLst/>
            <a:cxnLst>
              <a:cxn ang="0">
                <a:pos x="T0" y="T1"/>
              </a:cxn>
              <a:cxn ang="0">
                <a:pos x="T2" y="T3"/>
              </a:cxn>
              <a:cxn ang="0">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2067" name="Arc 19">
            <a:extLst>
              <a:ext uri="{FF2B5EF4-FFF2-40B4-BE49-F238E27FC236}">
                <a16:creationId xmlns:a16="http://schemas.microsoft.com/office/drawing/2014/main" id="{8D3A6F59-70CF-90D8-FD8E-24B82A75CBA9}"/>
              </a:ext>
            </a:extLst>
          </xdr:cNvPr>
          <xdr:cNvSpPr>
            <a:spLocks/>
          </xdr:cNvSpPr>
        </xdr:nvSpPr>
        <xdr:spPr bwMode="auto">
          <a:xfrm flipV="1">
            <a:off x="45" y="34"/>
            <a:ext cx="9" cy="209"/>
          </a:xfrm>
          <a:custGeom>
            <a:avLst/>
            <a:gdLst>
              <a:gd name="G0" fmla="+- 0 0 0"/>
              <a:gd name="G1" fmla="+- 21600 0 0"/>
              <a:gd name="G2" fmla="+- 21600 0 0"/>
              <a:gd name="T0" fmla="*/ 0 w 21600"/>
              <a:gd name="T1" fmla="*/ 0 h 21600"/>
              <a:gd name="T2" fmla="*/ 21600 w 21600"/>
              <a:gd name="T3" fmla="*/ 21600 h 21600"/>
              <a:gd name="T4" fmla="*/ 0 w 21600"/>
              <a:gd name="T5" fmla="*/ 21600 h 21600"/>
            </a:gdLst>
            <a:ahLst/>
            <a:cxnLst>
              <a:cxn ang="0">
                <a:pos x="T0" y="T1"/>
              </a:cxn>
              <a:cxn ang="0">
                <a:pos x="T2" y="T3"/>
              </a:cxn>
              <a:cxn ang="0">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2</xdr:col>
      <xdr:colOff>0</xdr:colOff>
      <xdr:row>1</xdr:row>
      <xdr:rowOff>22860</xdr:rowOff>
    </xdr:from>
    <xdr:to>
      <xdr:col>7</xdr:col>
      <xdr:colOff>586740</xdr:colOff>
      <xdr:row>3</xdr:row>
      <xdr:rowOff>99060</xdr:rowOff>
    </xdr:to>
    <xdr:sp macro="" textlink="">
      <xdr:nvSpPr>
        <xdr:cNvPr id="2071" name="WordArt 23">
          <a:extLst>
            <a:ext uri="{FF2B5EF4-FFF2-40B4-BE49-F238E27FC236}">
              <a16:creationId xmlns:a16="http://schemas.microsoft.com/office/drawing/2014/main" id="{D77016D4-1B8B-DB5E-31BF-DCEFA9AF5EFC}"/>
            </a:ext>
          </a:extLst>
        </xdr:cNvPr>
        <xdr:cNvSpPr>
          <a:spLocks noChangeArrowheads="1" noChangeShapeType="1" noTextEdit="1"/>
        </xdr:cNvSpPr>
      </xdr:nvSpPr>
      <xdr:spPr bwMode="auto">
        <a:xfrm>
          <a:off x="1104900" y="190500"/>
          <a:ext cx="4648200" cy="41148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Horizontal Stabilzer</a:t>
          </a:r>
        </a:p>
      </xdr:txBody>
    </xdr:sp>
    <xdr:clientData/>
  </xdr:twoCellAnchor>
  <xdr:twoCellAnchor>
    <xdr:from>
      <xdr:col>2</xdr:col>
      <xdr:colOff>0</xdr:colOff>
      <xdr:row>30</xdr:row>
      <xdr:rowOff>53340</xdr:rowOff>
    </xdr:from>
    <xdr:to>
      <xdr:col>7</xdr:col>
      <xdr:colOff>426720</xdr:colOff>
      <xdr:row>32</xdr:row>
      <xdr:rowOff>106680</xdr:rowOff>
    </xdr:to>
    <xdr:sp macro="" textlink="">
      <xdr:nvSpPr>
        <xdr:cNvPr id="2072" name="WordArt 24">
          <a:extLst>
            <a:ext uri="{FF2B5EF4-FFF2-40B4-BE49-F238E27FC236}">
              <a16:creationId xmlns:a16="http://schemas.microsoft.com/office/drawing/2014/main" id="{D2153CC2-FF2D-009B-F061-0750DD50559E}"/>
            </a:ext>
          </a:extLst>
        </xdr:cNvPr>
        <xdr:cNvSpPr>
          <a:spLocks noChangeArrowheads="1" noChangeShapeType="1" noTextEdit="1"/>
        </xdr:cNvSpPr>
      </xdr:nvSpPr>
      <xdr:spPr bwMode="auto">
        <a:xfrm>
          <a:off x="1104900" y="5105400"/>
          <a:ext cx="4488180" cy="40386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Vertical Stabilzer</a:t>
          </a:r>
        </a:p>
      </xdr:txBody>
    </xdr:sp>
    <xdr:clientData/>
  </xdr:twoCellAnchor>
  <xdr:twoCellAnchor>
    <xdr:from>
      <xdr:col>1</xdr:col>
      <xdr:colOff>762000</xdr:colOff>
      <xdr:row>37</xdr:row>
      <xdr:rowOff>22860</xdr:rowOff>
    </xdr:from>
    <xdr:to>
      <xdr:col>3</xdr:col>
      <xdr:colOff>83820</xdr:colOff>
      <xdr:row>37</xdr:row>
      <xdr:rowOff>22860</xdr:rowOff>
    </xdr:to>
    <xdr:sp macro="" textlink="">
      <xdr:nvSpPr>
        <xdr:cNvPr id="2073" name="Line 25">
          <a:extLst>
            <a:ext uri="{FF2B5EF4-FFF2-40B4-BE49-F238E27FC236}">
              <a16:creationId xmlns:a16="http://schemas.microsoft.com/office/drawing/2014/main" id="{73A91F53-A2E8-C296-41A7-BBB4EB0B6B2B}"/>
            </a:ext>
          </a:extLst>
        </xdr:cNvPr>
        <xdr:cNvSpPr>
          <a:spLocks noChangeShapeType="1"/>
        </xdr:cNvSpPr>
      </xdr:nvSpPr>
      <xdr:spPr bwMode="auto">
        <a:xfrm>
          <a:off x="1028700" y="6339840"/>
          <a:ext cx="9296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83820</xdr:colOff>
      <xdr:row>37</xdr:row>
      <xdr:rowOff>38100</xdr:rowOff>
    </xdr:from>
    <xdr:to>
      <xdr:col>3</xdr:col>
      <xdr:colOff>289560</xdr:colOff>
      <xdr:row>42</xdr:row>
      <xdr:rowOff>152400</xdr:rowOff>
    </xdr:to>
    <xdr:sp macro="" textlink="">
      <xdr:nvSpPr>
        <xdr:cNvPr id="2074" name="Line 26">
          <a:extLst>
            <a:ext uri="{FF2B5EF4-FFF2-40B4-BE49-F238E27FC236}">
              <a16:creationId xmlns:a16="http://schemas.microsoft.com/office/drawing/2014/main" id="{D9950D07-F771-1BAF-67C5-95B89FB24D62}"/>
            </a:ext>
          </a:extLst>
        </xdr:cNvPr>
        <xdr:cNvSpPr>
          <a:spLocks noChangeShapeType="1"/>
        </xdr:cNvSpPr>
      </xdr:nvSpPr>
      <xdr:spPr bwMode="auto">
        <a:xfrm>
          <a:off x="1958340" y="6355080"/>
          <a:ext cx="205740" cy="1066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42</xdr:row>
      <xdr:rowOff>152400</xdr:rowOff>
    </xdr:from>
    <xdr:to>
      <xdr:col>3</xdr:col>
      <xdr:colOff>289560</xdr:colOff>
      <xdr:row>48</xdr:row>
      <xdr:rowOff>182880</xdr:rowOff>
    </xdr:to>
    <xdr:sp macro="" textlink="">
      <xdr:nvSpPr>
        <xdr:cNvPr id="2075" name="Line 27">
          <a:extLst>
            <a:ext uri="{FF2B5EF4-FFF2-40B4-BE49-F238E27FC236}">
              <a16:creationId xmlns:a16="http://schemas.microsoft.com/office/drawing/2014/main" id="{707D039F-3C08-155A-A611-A254B57E4AAC}"/>
            </a:ext>
          </a:extLst>
        </xdr:cNvPr>
        <xdr:cNvSpPr>
          <a:spLocks noChangeShapeType="1"/>
        </xdr:cNvSpPr>
      </xdr:nvSpPr>
      <xdr:spPr bwMode="auto">
        <a:xfrm flipH="1">
          <a:off x="1874520" y="7421880"/>
          <a:ext cx="289560" cy="11734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693420</xdr:colOff>
      <xdr:row>48</xdr:row>
      <xdr:rowOff>182880</xdr:rowOff>
    </xdr:from>
    <xdr:to>
      <xdr:col>3</xdr:col>
      <xdr:colOff>0</xdr:colOff>
      <xdr:row>48</xdr:row>
      <xdr:rowOff>182880</xdr:rowOff>
    </xdr:to>
    <xdr:sp macro="" textlink="">
      <xdr:nvSpPr>
        <xdr:cNvPr id="2076" name="Line 28">
          <a:extLst>
            <a:ext uri="{FF2B5EF4-FFF2-40B4-BE49-F238E27FC236}">
              <a16:creationId xmlns:a16="http://schemas.microsoft.com/office/drawing/2014/main" id="{B1DA54AD-590F-349F-9FFB-0FB966308E38}"/>
            </a:ext>
          </a:extLst>
        </xdr:cNvPr>
        <xdr:cNvSpPr>
          <a:spLocks noChangeShapeType="1"/>
        </xdr:cNvSpPr>
      </xdr:nvSpPr>
      <xdr:spPr bwMode="auto">
        <a:xfrm flipH="1">
          <a:off x="960120" y="8595360"/>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563880</xdr:colOff>
      <xdr:row>43</xdr:row>
      <xdr:rowOff>7620</xdr:rowOff>
    </xdr:from>
    <xdr:to>
      <xdr:col>1</xdr:col>
      <xdr:colOff>685800</xdr:colOff>
      <xdr:row>48</xdr:row>
      <xdr:rowOff>182880</xdr:rowOff>
    </xdr:to>
    <xdr:sp macro="" textlink="">
      <xdr:nvSpPr>
        <xdr:cNvPr id="2077" name="Line 29">
          <a:extLst>
            <a:ext uri="{FF2B5EF4-FFF2-40B4-BE49-F238E27FC236}">
              <a16:creationId xmlns:a16="http://schemas.microsoft.com/office/drawing/2014/main" id="{8FE86FEA-75D4-EB42-3B5D-74FCB6F4F887}"/>
            </a:ext>
          </a:extLst>
        </xdr:cNvPr>
        <xdr:cNvSpPr>
          <a:spLocks noChangeShapeType="1"/>
        </xdr:cNvSpPr>
      </xdr:nvSpPr>
      <xdr:spPr bwMode="auto">
        <a:xfrm flipH="1" flipV="1">
          <a:off x="830580" y="7467600"/>
          <a:ext cx="121920" cy="11277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563880</xdr:colOff>
      <xdr:row>43</xdr:row>
      <xdr:rowOff>0</xdr:rowOff>
    </xdr:from>
    <xdr:to>
      <xdr:col>3</xdr:col>
      <xdr:colOff>304800</xdr:colOff>
      <xdr:row>43</xdr:row>
      <xdr:rowOff>0</xdr:rowOff>
    </xdr:to>
    <xdr:sp macro="" textlink="">
      <xdr:nvSpPr>
        <xdr:cNvPr id="2078" name="Line 30">
          <a:extLst>
            <a:ext uri="{FF2B5EF4-FFF2-40B4-BE49-F238E27FC236}">
              <a16:creationId xmlns:a16="http://schemas.microsoft.com/office/drawing/2014/main" id="{DC307FA7-7626-8CC7-6766-80DA092FB24F}"/>
            </a:ext>
          </a:extLst>
        </xdr:cNvPr>
        <xdr:cNvSpPr>
          <a:spLocks noChangeShapeType="1"/>
        </xdr:cNvSpPr>
      </xdr:nvSpPr>
      <xdr:spPr bwMode="auto">
        <a:xfrm flipV="1">
          <a:off x="830580" y="7459980"/>
          <a:ext cx="13487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571500</xdr:colOff>
      <xdr:row>37</xdr:row>
      <xdr:rowOff>38100</xdr:rowOff>
    </xdr:from>
    <xdr:to>
      <xdr:col>1</xdr:col>
      <xdr:colOff>762000</xdr:colOff>
      <xdr:row>43</xdr:row>
      <xdr:rowOff>7620</xdr:rowOff>
    </xdr:to>
    <xdr:sp macro="" textlink="">
      <xdr:nvSpPr>
        <xdr:cNvPr id="2079" name="Line 31">
          <a:extLst>
            <a:ext uri="{FF2B5EF4-FFF2-40B4-BE49-F238E27FC236}">
              <a16:creationId xmlns:a16="http://schemas.microsoft.com/office/drawing/2014/main" id="{BA617D8B-B75D-D918-56C9-5BB7995E2EA7}"/>
            </a:ext>
          </a:extLst>
        </xdr:cNvPr>
        <xdr:cNvSpPr>
          <a:spLocks noChangeShapeType="1"/>
        </xdr:cNvSpPr>
      </xdr:nvSpPr>
      <xdr:spPr bwMode="auto">
        <a:xfrm flipV="1">
          <a:off x="838200" y="6355080"/>
          <a:ext cx="190500" cy="11125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411480</xdr:colOff>
      <xdr:row>33</xdr:row>
      <xdr:rowOff>106680</xdr:rowOff>
    </xdr:from>
    <xdr:to>
      <xdr:col>7</xdr:col>
      <xdr:colOff>601980</xdr:colOff>
      <xdr:row>52</xdr:row>
      <xdr:rowOff>53340</xdr:rowOff>
    </xdr:to>
    <xdr:graphicFrame macro="">
      <xdr:nvGraphicFramePr>
        <xdr:cNvPr id="2081" name="Wykres 33">
          <a:extLst>
            <a:ext uri="{FF2B5EF4-FFF2-40B4-BE49-F238E27FC236}">
              <a16:creationId xmlns:a16="http://schemas.microsoft.com/office/drawing/2014/main" id="{AEDD6759-84F6-BF1F-88BE-C27091CF9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228600</xdr:colOff>
      <xdr:row>9</xdr:row>
      <xdr:rowOff>121920</xdr:rowOff>
    </xdr:from>
    <xdr:to>
      <xdr:col>7</xdr:col>
      <xdr:colOff>213360</xdr:colOff>
      <xdr:row>27</xdr:row>
      <xdr:rowOff>60960</xdr:rowOff>
    </xdr:to>
    <xdr:graphicFrame macro="">
      <xdr:nvGraphicFramePr>
        <xdr:cNvPr id="18433" name="Wykres 1">
          <a:extLst>
            <a:ext uri="{FF2B5EF4-FFF2-40B4-BE49-F238E27FC236}">
              <a16:creationId xmlns:a16="http://schemas.microsoft.com/office/drawing/2014/main" id="{47B22644-8D2D-D460-F955-9C28C0849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1036320</xdr:colOff>
      <xdr:row>1</xdr:row>
      <xdr:rowOff>7620</xdr:rowOff>
    </xdr:from>
    <xdr:to>
      <xdr:col>6</xdr:col>
      <xdr:colOff>99060</xdr:colOff>
      <xdr:row>4</xdr:row>
      <xdr:rowOff>91440</xdr:rowOff>
    </xdr:to>
    <xdr:sp macro="" textlink="">
      <xdr:nvSpPr>
        <xdr:cNvPr id="18462" name="WordArt 30">
          <a:extLst>
            <a:ext uri="{FF2B5EF4-FFF2-40B4-BE49-F238E27FC236}">
              <a16:creationId xmlns:a16="http://schemas.microsoft.com/office/drawing/2014/main" id="{0BF40398-DE50-5089-9BCD-356142942008}"/>
            </a:ext>
          </a:extLst>
        </xdr:cNvPr>
        <xdr:cNvSpPr>
          <a:spLocks noChangeArrowheads="1" noChangeShapeType="1" noTextEdit="1"/>
        </xdr:cNvSpPr>
      </xdr:nvSpPr>
      <xdr:spPr bwMode="auto">
        <a:xfrm>
          <a:off x="1508760" y="175260"/>
          <a:ext cx="5090160" cy="58674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Cruciform Tail</a:t>
          </a:r>
        </a:p>
      </xdr:txBody>
    </xdr:sp>
    <xdr:clientData/>
  </xdr:twoCellAnchor>
  <xdr:twoCellAnchor>
    <xdr:from>
      <xdr:col>2</xdr:col>
      <xdr:colOff>22860</xdr:colOff>
      <xdr:row>5</xdr:row>
      <xdr:rowOff>76200</xdr:rowOff>
    </xdr:from>
    <xdr:to>
      <xdr:col>5</xdr:col>
      <xdr:colOff>251460</xdr:colOff>
      <xdr:row>8</xdr:row>
      <xdr:rowOff>45720</xdr:rowOff>
    </xdr:to>
    <xdr:sp macro="" textlink="">
      <xdr:nvSpPr>
        <xdr:cNvPr id="18465" name="WordArt 33">
          <a:extLst>
            <a:ext uri="{FF2B5EF4-FFF2-40B4-BE49-F238E27FC236}">
              <a16:creationId xmlns:a16="http://schemas.microsoft.com/office/drawing/2014/main" id="{FBA934AE-C0FA-C8AF-6033-38A8B213BDDA}"/>
            </a:ext>
          </a:extLst>
        </xdr:cNvPr>
        <xdr:cNvSpPr>
          <a:spLocks noChangeArrowheads="1" noChangeShapeType="1" noTextEdit="1"/>
        </xdr:cNvSpPr>
      </xdr:nvSpPr>
      <xdr:spPr bwMode="auto">
        <a:xfrm>
          <a:off x="2019300" y="914400"/>
          <a:ext cx="3025140" cy="472440"/>
        </a:xfrm>
        <a:prstGeom prst="rect">
          <a:avLst/>
        </a:prstGeom>
      </xdr:spPr>
      <xdr:txBody>
        <a:bodyPr wrap="none" fromWordArt="1">
          <a:prstTxWarp prst="textPlain">
            <a:avLst>
              <a:gd name="adj" fmla="val 50000"/>
            </a:avLst>
          </a:prstTxWarp>
        </a:bodyPr>
        <a:lstStyle/>
        <a:p>
          <a:pPr algn="ctr" rtl="0">
            <a:buNone/>
          </a:pPr>
          <a:r>
            <a:rPr lang="pl-PL" sz="8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Balance Point (CG)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198120</xdr:colOff>
      <xdr:row>5</xdr:row>
      <xdr:rowOff>0</xdr:rowOff>
    </xdr:from>
    <xdr:to>
      <xdr:col>1</xdr:col>
      <xdr:colOff>7620</xdr:colOff>
      <xdr:row>15</xdr:row>
      <xdr:rowOff>137160</xdr:rowOff>
    </xdr:to>
    <xdr:grpSp>
      <xdr:nvGrpSpPr>
        <xdr:cNvPr id="16393" name="Group 9">
          <a:extLst>
            <a:ext uri="{FF2B5EF4-FFF2-40B4-BE49-F238E27FC236}">
              <a16:creationId xmlns:a16="http://schemas.microsoft.com/office/drawing/2014/main" id="{466DBD36-6145-D6B4-6467-44E8B09C10B6}"/>
            </a:ext>
          </a:extLst>
        </xdr:cNvPr>
        <xdr:cNvGrpSpPr>
          <a:grpSpLocks/>
        </xdr:cNvGrpSpPr>
      </xdr:nvGrpSpPr>
      <xdr:grpSpPr bwMode="auto">
        <a:xfrm>
          <a:off x="198120" y="876300"/>
          <a:ext cx="68580" cy="1844040"/>
          <a:chOff x="37" y="34"/>
          <a:chExt cx="17" cy="209"/>
        </a:xfrm>
      </xdr:grpSpPr>
      <xdr:sp macro="" textlink="">
        <xdr:nvSpPr>
          <xdr:cNvPr id="16394" name="Arc 10">
            <a:extLst>
              <a:ext uri="{FF2B5EF4-FFF2-40B4-BE49-F238E27FC236}">
                <a16:creationId xmlns:a16="http://schemas.microsoft.com/office/drawing/2014/main" id="{59D8FFBC-E4C9-AAF7-2B13-91D870B68F8F}"/>
              </a:ext>
            </a:extLst>
          </xdr:cNvPr>
          <xdr:cNvSpPr>
            <a:spLocks/>
          </xdr:cNvSpPr>
        </xdr:nvSpPr>
        <xdr:spPr bwMode="auto">
          <a:xfrm flipH="1" flipV="1">
            <a:off x="37" y="34"/>
            <a:ext cx="8" cy="208"/>
          </a:xfrm>
          <a:custGeom>
            <a:avLst/>
            <a:gdLst>
              <a:gd name="G0" fmla="+- 0 0 0"/>
              <a:gd name="G1" fmla="+- 21600 0 0"/>
              <a:gd name="G2" fmla="+- 21600 0 0"/>
              <a:gd name="T0" fmla="*/ 0 w 21600"/>
              <a:gd name="T1" fmla="*/ 0 h 21600"/>
              <a:gd name="T2" fmla="*/ 21600 w 21600"/>
              <a:gd name="T3" fmla="*/ 21600 h 21600"/>
              <a:gd name="T4" fmla="*/ 0 w 21600"/>
              <a:gd name="T5" fmla="*/ 21600 h 21600"/>
            </a:gdLst>
            <a:ahLst/>
            <a:cxnLst>
              <a:cxn ang="0">
                <a:pos x="T0" y="T1"/>
              </a:cxn>
              <a:cxn ang="0">
                <a:pos x="T2" y="T3"/>
              </a:cxn>
              <a:cxn ang="0">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6395" name="Arc 11">
            <a:extLst>
              <a:ext uri="{FF2B5EF4-FFF2-40B4-BE49-F238E27FC236}">
                <a16:creationId xmlns:a16="http://schemas.microsoft.com/office/drawing/2014/main" id="{D92CB829-2CC4-9E83-F123-84C3ABA843CF}"/>
              </a:ext>
            </a:extLst>
          </xdr:cNvPr>
          <xdr:cNvSpPr>
            <a:spLocks/>
          </xdr:cNvSpPr>
        </xdr:nvSpPr>
        <xdr:spPr bwMode="auto">
          <a:xfrm flipV="1">
            <a:off x="45" y="34"/>
            <a:ext cx="9" cy="209"/>
          </a:xfrm>
          <a:custGeom>
            <a:avLst/>
            <a:gdLst>
              <a:gd name="G0" fmla="+- 0 0 0"/>
              <a:gd name="G1" fmla="+- 21600 0 0"/>
              <a:gd name="G2" fmla="+- 21600 0 0"/>
              <a:gd name="T0" fmla="*/ 0 w 21600"/>
              <a:gd name="T1" fmla="*/ 0 h 21600"/>
              <a:gd name="T2" fmla="*/ 21600 w 21600"/>
              <a:gd name="T3" fmla="*/ 21600 h 21600"/>
              <a:gd name="T4" fmla="*/ 0 w 21600"/>
              <a:gd name="T5" fmla="*/ 21600 h 21600"/>
            </a:gdLst>
            <a:ahLst/>
            <a:cxnLst>
              <a:cxn ang="0">
                <a:pos x="T0" y="T1"/>
              </a:cxn>
              <a:cxn ang="0">
                <a:pos x="T2" y="T3"/>
              </a:cxn>
              <a:cxn ang="0">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4</xdr:col>
      <xdr:colOff>7620</xdr:colOff>
      <xdr:row>8</xdr:row>
      <xdr:rowOff>137160</xdr:rowOff>
    </xdr:from>
    <xdr:to>
      <xdr:col>4</xdr:col>
      <xdr:colOff>7620</xdr:colOff>
      <xdr:row>12</xdr:row>
      <xdr:rowOff>0</xdr:rowOff>
    </xdr:to>
    <xdr:sp macro="" textlink="">
      <xdr:nvSpPr>
        <xdr:cNvPr id="16396" name="Line 12">
          <a:extLst>
            <a:ext uri="{FF2B5EF4-FFF2-40B4-BE49-F238E27FC236}">
              <a16:creationId xmlns:a16="http://schemas.microsoft.com/office/drawing/2014/main" id="{AB4EC355-F580-9E53-9B12-FB37B47E8E19}"/>
            </a:ext>
          </a:extLst>
        </xdr:cNvPr>
        <xdr:cNvSpPr>
          <a:spLocks noChangeShapeType="1"/>
        </xdr:cNvSpPr>
      </xdr:nvSpPr>
      <xdr:spPr bwMode="auto">
        <a:xfrm flipV="1">
          <a:off x="2560320" y="1546860"/>
          <a:ext cx="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1417320</xdr:colOff>
      <xdr:row>7</xdr:row>
      <xdr:rowOff>68580</xdr:rowOff>
    </xdr:from>
    <xdr:to>
      <xdr:col>4</xdr:col>
      <xdr:colOff>0</xdr:colOff>
      <xdr:row>8</xdr:row>
      <xdr:rowOff>137160</xdr:rowOff>
    </xdr:to>
    <xdr:sp macro="" textlink="">
      <xdr:nvSpPr>
        <xdr:cNvPr id="16397" name="Line 13">
          <a:extLst>
            <a:ext uri="{FF2B5EF4-FFF2-40B4-BE49-F238E27FC236}">
              <a16:creationId xmlns:a16="http://schemas.microsoft.com/office/drawing/2014/main" id="{1FCA70B9-9642-DDAF-1C8F-7E8630F1A5EC}"/>
            </a:ext>
          </a:extLst>
        </xdr:cNvPr>
        <xdr:cNvSpPr>
          <a:spLocks noChangeShapeType="1"/>
        </xdr:cNvSpPr>
      </xdr:nvSpPr>
      <xdr:spPr bwMode="auto">
        <a:xfrm flipH="1" flipV="1">
          <a:off x="259080" y="1310640"/>
          <a:ext cx="2293620" cy="236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83820</xdr:colOff>
      <xdr:row>5</xdr:row>
      <xdr:rowOff>0</xdr:rowOff>
    </xdr:from>
    <xdr:to>
      <xdr:col>10</xdr:col>
      <xdr:colOff>426720</xdr:colOff>
      <xdr:row>18</xdr:row>
      <xdr:rowOff>160020</xdr:rowOff>
    </xdr:to>
    <xdr:graphicFrame macro="">
      <xdr:nvGraphicFramePr>
        <xdr:cNvPr id="16398" name="Wykres 14">
          <a:extLst>
            <a:ext uri="{FF2B5EF4-FFF2-40B4-BE49-F238E27FC236}">
              <a16:creationId xmlns:a16="http://schemas.microsoft.com/office/drawing/2014/main" id="{8C3314F7-EF19-2E37-BBDB-70BB45BAF9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1417320</xdr:colOff>
      <xdr:row>12</xdr:row>
      <xdr:rowOff>0</xdr:rowOff>
    </xdr:from>
    <xdr:to>
      <xdr:col>4</xdr:col>
      <xdr:colOff>7620</xdr:colOff>
      <xdr:row>12</xdr:row>
      <xdr:rowOff>7620</xdr:rowOff>
    </xdr:to>
    <xdr:sp macro="" textlink="">
      <xdr:nvSpPr>
        <xdr:cNvPr id="16399" name="Line 15">
          <a:extLst>
            <a:ext uri="{FF2B5EF4-FFF2-40B4-BE49-F238E27FC236}">
              <a16:creationId xmlns:a16="http://schemas.microsoft.com/office/drawing/2014/main" id="{CFE36C07-4537-A660-19D2-45CB913FED9A}"/>
            </a:ext>
          </a:extLst>
        </xdr:cNvPr>
        <xdr:cNvSpPr>
          <a:spLocks noChangeShapeType="1"/>
        </xdr:cNvSpPr>
      </xdr:nvSpPr>
      <xdr:spPr bwMode="auto">
        <a:xfrm flipH="1">
          <a:off x="259080" y="2080260"/>
          <a:ext cx="2301240" cy="7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236220</xdr:colOff>
      <xdr:row>1</xdr:row>
      <xdr:rowOff>30480</xdr:rowOff>
    </xdr:from>
    <xdr:to>
      <xdr:col>6</xdr:col>
      <xdr:colOff>601980</xdr:colOff>
      <xdr:row>3</xdr:row>
      <xdr:rowOff>99060</xdr:rowOff>
    </xdr:to>
    <xdr:sp macro="" textlink="">
      <xdr:nvSpPr>
        <xdr:cNvPr id="16401" name="WordArt 17">
          <a:extLst>
            <a:ext uri="{FF2B5EF4-FFF2-40B4-BE49-F238E27FC236}">
              <a16:creationId xmlns:a16="http://schemas.microsoft.com/office/drawing/2014/main" id="{7A732E75-DD81-F375-D692-F1D311A19234}"/>
            </a:ext>
          </a:extLst>
        </xdr:cNvPr>
        <xdr:cNvSpPr>
          <a:spLocks noChangeArrowheads="1" noChangeShapeType="1" noTextEdit="1"/>
        </xdr:cNvSpPr>
      </xdr:nvSpPr>
      <xdr:spPr bwMode="auto">
        <a:xfrm>
          <a:off x="2103120" y="205740"/>
          <a:ext cx="2423160" cy="41910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V-Tail</a:t>
          </a:r>
        </a:p>
      </xdr:txBody>
    </xdr:sp>
    <xdr:clientData/>
  </xdr:twoCellAnchor>
  <xdr:twoCellAnchor>
    <xdr:from>
      <xdr:col>6</xdr:col>
      <xdr:colOff>0</xdr:colOff>
      <xdr:row>22</xdr:row>
      <xdr:rowOff>121920</xdr:rowOff>
    </xdr:from>
    <xdr:to>
      <xdr:col>8</xdr:col>
      <xdr:colOff>579120</xdr:colOff>
      <xdr:row>29</xdr:row>
      <xdr:rowOff>160020</xdr:rowOff>
    </xdr:to>
    <xdr:grpSp>
      <xdr:nvGrpSpPr>
        <xdr:cNvPr id="16412" name="Group 28">
          <a:extLst>
            <a:ext uri="{FF2B5EF4-FFF2-40B4-BE49-F238E27FC236}">
              <a16:creationId xmlns:a16="http://schemas.microsoft.com/office/drawing/2014/main" id="{D9051DA4-7CA1-CABC-1D69-74A4D0F43C3B}"/>
            </a:ext>
          </a:extLst>
        </xdr:cNvPr>
        <xdr:cNvGrpSpPr>
          <a:grpSpLocks/>
        </xdr:cNvGrpSpPr>
      </xdr:nvGrpSpPr>
      <xdr:grpSpPr bwMode="auto">
        <a:xfrm>
          <a:off x="3924300" y="3916680"/>
          <a:ext cx="1592580" cy="1211580"/>
          <a:chOff x="412" y="389"/>
          <a:chExt cx="172" cy="123"/>
        </a:xfrm>
      </xdr:grpSpPr>
      <xdr:sp macro="" textlink="">
        <xdr:nvSpPr>
          <xdr:cNvPr id="16403" name="Line 19">
            <a:extLst>
              <a:ext uri="{FF2B5EF4-FFF2-40B4-BE49-F238E27FC236}">
                <a16:creationId xmlns:a16="http://schemas.microsoft.com/office/drawing/2014/main" id="{FF966AC7-0B5C-D5C2-5757-ABC7781544F4}"/>
              </a:ext>
            </a:extLst>
          </xdr:cNvPr>
          <xdr:cNvSpPr>
            <a:spLocks noChangeShapeType="1"/>
          </xdr:cNvSpPr>
        </xdr:nvSpPr>
        <xdr:spPr bwMode="auto">
          <a:xfrm flipV="1">
            <a:off x="494" y="389"/>
            <a:ext cx="90" cy="10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6404" name="Line 20">
            <a:extLst>
              <a:ext uri="{FF2B5EF4-FFF2-40B4-BE49-F238E27FC236}">
                <a16:creationId xmlns:a16="http://schemas.microsoft.com/office/drawing/2014/main" id="{41A21B53-25E4-2374-1E21-12504DBE7D7D}"/>
              </a:ext>
            </a:extLst>
          </xdr:cNvPr>
          <xdr:cNvSpPr>
            <a:spLocks noChangeShapeType="1"/>
          </xdr:cNvSpPr>
        </xdr:nvSpPr>
        <xdr:spPr bwMode="auto">
          <a:xfrm flipH="1">
            <a:off x="492" y="391"/>
            <a:ext cx="91" cy="11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6405" name="Line 21">
            <a:extLst>
              <a:ext uri="{FF2B5EF4-FFF2-40B4-BE49-F238E27FC236}">
                <a16:creationId xmlns:a16="http://schemas.microsoft.com/office/drawing/2014/main" id="{60DF4498-E70E-1AA1-7DFF-F2D45EE82D45}"/>
              </a:ext>
            </a:extLst>
          </xdr:cNvPr>
          <xdr:cNvSpPr>
            <a:spLocks noChangeShapeType="1"/>
          </xdr:cNvSpPr>
        </xdr:nvSpPr>
        <xdr:spPr bwMode="auto">
          <a:xfrm flipH="1" flipV="1">
            <a:off x="412" y="392"/>
            <a:ext cx="80" cy="9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6406" name="Line 22">
            <a:extLst>
              <a:ext uri="{FF2B5EF4-FFF2-40B4-BE49-F238E27FC236}">
                <a16:creationId xmlns:a16="http://schemas.microsoft.com/office/drawing/2014/main" id="{4EB43AB0-5824-AF5C-6956-1DFF32728DA2}"/>
              </a:ext>
            </a:extLst>
          </xdr:cNvPr>
          <xdr:cNvSpPr>
            <a:spLocks noChangeShapeType="1"/>
          </xdr:cNvSpPr>
        </xdr:nvSpPr>
        <xdr:spPr bwMode="auto">
          <a:xfrm flipH="1" flipV="1">
            <a:off x="412" y="392"/>
            <a:ext cx="79" cy="1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22</xdr:row>
      <xdr:rowOff>121920</xdr:rowOff>
    </xdr:from>
    <xdr:to>
      <xdr:col>9</xdr:col>
      <xdr:colOff>0</xdr:colOff>
      <xdr:row>29</xdr:row>
      <xdr:rowOff>160020</xdr:rowOff>
    </xdr:to>
    <xdr:sp macro="" textlink="">
      <xdr:nvSpPr>
        <xdr:cNvPr id="16407" name="Line 23">
          <a:extLst>
            <a:ext uri="{FF2B5EF4-FFF2-40B4-BE49-F238E27FC236}">
              <a16:creationId xmlns:a16="http://schemas.microsoft.com/office/drawing/2014/main" id="{69F28E77-17F3-F51C-F6FE-AAFAC8947E90}"/>
            </a:ext>
          </a:extLst>
        </xdr:cNvPr>
        <xdr:cNvSpPr>
          <a:spLocks noChangeShapeType="1"/>
        </xdr:cNvSpPr>
      </xdr:nvSpPr>
      <xdr:spPr bwMode="auto">
        <a:xfrm flipH="1">
          <a:off x="5539740" y="3916680"/>
          <a:ext cx="0" cy="12115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274320</xdr:colOff>
      <xdr:row>21</xdr:row>
      <xdr:rowOff>167640</xdr:rowOff>
    </xdr:from>
    <xdr:to>
      <xdr:col>8</xdr:col>
      <xdr:colOff>274320</xdr:colOff>
      <xdr:row>23</xdr:row>
      <xdr:rowOff>0</xdr:rowOff>
    </xdr:to>
    <xdr:sp macro="" textlink="">
      <xdr:nvSpPr>
        <xdr:cNvPr id="16408" name="WordArt 24">
          <a:extLst>
            <a:ext uri="{FF2B5EF4-FFF2-40B4-BE49-F238E27FC236}">
              <a16:creationId xmlns:a16="http://schemas.microsoft.com/office/drawing/2014/main" id="{B9579F48-7526-C52E-5D10-C8F4709323AB}"/>
            </a:ext>
          </a:extLst>
        </xdr:cNvPr>
        <xdr:cNvSpPr>
          <a:spLocks noChangeArrowheads="1" noChangeShapeType="1" noTextEdit="1"/>
        </xdr:cNvSpPr>
      </xdr:nvSpPr>
      <xdr:spPr bwMode="auto">
        <a:xfrm>
          <a:off x="4198620" y="3764280"/>
          <a:ext cx="1013460" cy="198120"/>
        </a:xfrm>
        <a:prstGeom prst="rect">
          <a:avLst/>
        </a:prstGeom>
      </xdr:spPr>
      <xdr:txBody>
        <a:bodyPr wrap="none" fromWordArt="1">
          <a:prstTxWarp prst="textPlain">
            <a:avLst>
              <a:gd name="adj" fmla="val 50000"/>
            </a:avLst>
          </a:prstTxWarp>
        </a:bodyPr>
        <a:lstStyle/>
        <a:p>
          <a:pPr algn="ctr" rtl="0">
            <a:buNone/>
          </a:pPr>
          <a:r>
            <a:rPr lang="pl-PL" sz="9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Dihedral</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274320</xdr:colOff>
      <xdr:row>10</xdr:row>
      <xdr:rowOff>30480</xdr:rowOff>
    </xdr:from>
    <xdr:to>
      <xdr:col>6</xdr:col>
      <xdr:colOff>952500</xdr:colOff>
      <xdr:row>27</xdr:row>
      <xdr:rowOff>182880</xdr:rowOff>
    </xdr:to>
    <xdr:graphicFrame macro="">
      <xdr:nvGraphicFramePr>
        <xdr:cNvPr id="20481" name="Wykres 1">
          <a:extLst>
            <a:ext uri="{FF2B5EF4-FFF2-40B4-BE49-F238E27FC236}">
              <a16:creationId xmlns:a16="http://schemas.microsoft.com/office/drawing/2014/main" id="{AA8D7CB0-1473-3408-068C-987925DC6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1668780</xdr:colOff>
      <xdr:row>1</xdr:row>
      <xdr:rowOff>38100</xdr:rowOff>
    </xdr:from>
    <xdr:to>
      <xdr:col>5</xdr:col>
      <xdr:colOff>525780</xdr:colOff>
      <xdr:row>4</xdr:row>
      <xdr:rowOff>30480</xdr:rowOff>
    </xdr:to>
    <xdr:sp macro="" textlink="">
      <xdr:nvSpPr>
        <xdr:cNvPr id="20482" name="WordArt 2">
          <a:extLst>
            <a:ext uri="{FF2B5EF4-FFF2-40B4-BE49-F238E27FC236}">
              <a16:creationId xmlns:a16="http://schemas.microsoft.com/office/drawing/2014/main" id="{13CC49AD-27DB-66EB-2A6F-93B71243FD2B}"/>
            </a:ext>
          </a:extLst>
        </xdr:cNvPr>
        <xdr:cNvSpPr>
          <a:spLocks noChangeArrowheads="1" noChangeShapeType="1" noTextEdit="1"/>
        </xdr:cNvSpPr>
      </xdr:nvSpPr>
      <xdr:spPr bwMode="auto">
        <a:xfrm>
          <a:off x="1897380" y="205740"/>
          <a:ext cx="3558540" cy="49530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V-Tail</a:t>
          </a:r>
        </a:p>
      </xdr:txBody>
    </xdr:sp>
    <xdr:clientData/>
  </xdr:twoCellAnchor>
  <xdr:twoCellAnchor>
    <xdr:from>
      <xdr:col>2</xdr:col>
      <xdr:colOff>213360</xdr:colOff>
      <xdr:row>5</xdr:row>
      <xdr:rowOff>60960</xdr:rowOff>
    </xdr:from>
    <xdr:to>
      <xdr:col>5</xdr:col>
      <xdr:colOff>434340</xdr:colOff>
      <xdr:row>8</xdr:row>
      <xdr:rowOff>76200</xdr:rowOff>
    </xdr:to>
    <xdr:sp macro="" textlink="">
      <xdr:nvSpPr>
        <xdr:cNvPr id="20483" name="WordArt 3">
          <a:extLst>
            <a:ext uri="{FF2B5EF4-FFF2-40B4-BE49-F238E27FC236}">
              <a16:creationId xmlns:a16="http://schemas.microsoft.com/office/drawing/2014/main" id="{38A196D2-9042-0D96-1A31-BF0382AB3268}"/>
            </a:ext>
          </a:extLst>
        </xdr:cNvPr>
        <xdr:cNvSpPr>
          <a:spLocks noChangeArrowheads="1" noChangeShapeType="1" noTextEdit="1"/>
        </xdr:cNvSpPr>
      </xdr:nvSpPr>
      <xdr:spPr bwMode="auto">
        <a:xfrm>
          <a:off x="2110740" y="899160"/>
          <a:ext cx="3253740" cy="518160"/>
        </a:xfrm>
        <a:prstGeom prst="rect">
          <a:avLst/>
        </a:prstGeom>
      </xdr:spPr>
      <xdr:txBody>
        <a:bodyPr wrap="none" fromWordArt="1">
          <a:prstTxWarp prst="textPlain">
            <a:avLst>
              <a:gd name="adj" fmla="val 50000"/>
            </a:avLst>
          </a:prstTxWarp>
        </a:bodyPr>
        <a:lstStyle/>
        <a:p>
          <a:pPr algn="ctr" rtl="0">
            <a:buNone/>
          </a:pPr>
          <a:r>
            <a:rPr lang="pl-PL" sz="8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Balance Point (CG)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198120</xdr:colOff>
      <xdr:row>1</xdr:row>
      <xdr:rowOff>60960</xdr:rowOff>
    </xdr:from>
    <xdr:to>
      <xdr:col>5</xdr:col>
      <xdr:colOff>701040</xdr:colOff>
      <xdr:row>5</xdr:row>
      <xdr:rowOff>137160</xdr:rowOff>
    </xdr:to>
    <xdr:sp macro="" textlink="">
      <xdr:nvSpPr>
        <xdr:cNvPr id="15361" name="WordArt 1025">
          <a:extLst>
            <a:ext uri="{FF2B5EF4-FFF2-40B4-BE49-F238E27FC236}">
              <a16:creationId xmlns:a16="http://schemas.microsoft.com/office/drawing/2014/main" id="{6FF6EC86-10CB-A4FD-5454-CA23E4828331}"/>
            </a:ext>
          </a:extLst>
        </xdr:cNvPr>
        <xdr:cNvSpPr>
          <a:spLocks noChangeArrowheads="1" noChangeShapeType="1" noTextEdit="1"/>
        </xdr:cNvSpPr>
      </xdr:nvSpPr>
      <xdr:spPr bwMode="auto">
        <a:xfrm>
          <a:off x="434340" y="228600"/>
          <a:ext cx="3992880" cy="74676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Quick V-Tail Sizing</a:t>
          </a:r>
        </a:p>
      </xdr:txBody>
    </xdr:sp>
    <xdr:clientData/>
  </xdr:twoCellAnchor>
  <xdr:twoCellAnchor>
    <xdr:from>
      <xdr:col>1</xdr:col>
      <xdr:colOff>83820</xdr:colOff>
      <xdr:row>18</xdr:row>
      <xdr:rowOff>106680</xdr:rowOff>
    </xdr:from>
    <xdr:to>
      <xdr:col>6</xdr:col>
      <xdr:colOff>144780</xdr:colOff>
      <xdr:row>19</xdr:row>
      <xdr:rowOff>137160</xdr:rowOff>
    </xdr:to>
    <xdr:sp macro="" textlink="">
      <xdr:nvSpPr>
        <xdr:cNvPr id="15380" name="WordArt 1044">
          <a:extLst>
            <a:ext uri="{FF2B5EF4-FFF2-40B4-BE49-F238E27FC236}">
              <a16:creationId xmlns:a16="http://schemas.microsoft.com/office/drawing/2014/main" id="{1C5B411B-1EA4-21DC-F964-2FB48C0C469A}"/>
            </a:ext>
          </a:extLst>
        </xdr:cNvPr>
        <xdr:cNvSpPr>
          <a:spLocks noChangeArrowheads="1" noChangeShapeType="1" noTextEdit="1"/>
        </xdr:cNvSpPr>
      </xdr:nvSpPr>
      <xdr:spPr bwMode="auto">
        <a:xfrm>
          <a:off x="320040" y="3154680"/>
          <a:ext cx="4351020" cy="198120"/>
        </a:xfrm>
        <a:prstGeom prst="rect">
          <a:avLst/>
        </a:prstGeom>
      </xdr:spPr>
      <xdr:txBody>
        <a:bodyPr wrap="none" fromWordArt="1">
          <a:prstTxWarp prst="textPlain">
            <a:avLst>
              <a:gd name="adj" fmla="val 50000"/>
            </a:avLst>
          </a:prstTxWarp>
        </a:bodyPr>
        <a:lstStyle/>
        <a:p>
          <a:pPr algn="ctr" rtl="0">
            <a:buNone/>
          </a:pPr>
          <a:r>
            <a:rPr lang="pl-PL" sz="12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Convert a V-Tail to a Conventional Tail</a:t>
          </a:r>
        </a:p>
      </xdr:txBody>
    </xdr:sp>
    <xdr:clientData/>
  </xdr:twoCellAnchor>
  <xdr:twoCellAnchor>
    <xdr:from>
      <xdr:col>1</xdr:col>
      <xdr:colOff>60960</xdr:colOff>
      <xdr:row>7</xdr:row>
      <xdr:rowOff>68580</xdr:rowOff>
    </xdr:from>
    <xdr:to>
      <xdr:col>6</xdr:col>
      <xdr:colOff>83820</xdr:colOff>
      <xdr:row>8</xdr:row>
      <xdr:rowOff>91440</xdr:rowOff>
    </xdr:to>
    <xdr:sp macro="" textlink="">
      <xdr:nvSpPr>
        <xdr:cNvPr id="15381" name="WordArt 1045">
          <a:extLst>
            <a:ext uri="{FF2B5EF4-FFF2-40B4-BE49-F238E27FC236}">
              <a16:creationId xmlns:a16="http://schemas.microsoft.com/office/drawing/2014/main" id="{8E3BF1FD-2924-416E-9DFD-5C4F9508BA5E}"/>
            </a:ext>
          </a:extLst>
        </xdr:cNvPr>
        <xdr:cNvSpPr>
          <a:spLocks noChangeArrowheads="1" noChangeShapeType="1" noTextEdit="1"/>
        </xdr:cNvSpPr>
      </xdr:nvSpPr>
      <xdr:spPr bwMode="auto">
        <a:xfrm>
          <a:off x="297180" y="1242060"/>
          <a:ext cx="4312920" cy="190500"/>
        </a:xfrm>
        <a:prstGeom prst="rect">
          <a:avLst/>
        </a:prstGeom>
      </xdr:spPr>
      <xdr:txBody>
        <a:bodyPr wrap="none" fromWordArt="1">
          <a:prstTxWarp prst="textPlain">
            <a:avLst>
              <a:gd name="adj" fmla="val 50000"/>
            </a:avLst>
          </a:prstTxWarp>
        </a:bodyPr>
        <a:lstStyle/>
        <a:p>
          <a:pPr algn="ctr" rtl="0">
            <a:buNone/>
          </a:pPr>
          <a:r>
            <a:rPr lang="pl-PL" sz="12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Convert a Conventional Tail to a V-Tail</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426720</xdr:colOff>
      <xdr:row>0</xdr:row>
      <xdr:rowOff>129540</xdr:rowOff>
    </xdr:from>
    <xdr:to>
      <xdr:col>5</xdr:col>
      <xdr:colOff>1287780</xdr:colOff>
      <xdr:row>2</xdr:row>
      <xdr:rowOff>129540</xdr:rowOff>
    </xdr:to>
    <xdr:sp macro="" textlink="">
      <xdr:nvSpPr>
        <xdr:cNvPr id="11268" name="WordArt 4">
          <a:extLst>
            <a:ext uri="{FF2B5EF4-FFF2-40B4-BE49-F238E27FC236}">
              <a16:creationId xmlns:a16="http://schemas.microsoft.com/office/drawing/2014/main" id="{EA46B992-5EA7-B57A-3EBF-4F6653774FCD}"/>
            </a:ext>
          </a:extLst>
        </xdr:cNvPr>
        <xdr:cNvSpPr>
          <a:spLocks noChangeArrowheads="1" noChangeShapeType="1" noTextEdit="1"/>
        </xdr:cNvSpPr>
      </xdr:nvSpPr>
      <xdr:spPr bwMode="auto">
        <a:xfrm>
          <a:off x="1455420" y="129540"/>
          <a:ext cx="4389120" cy="45720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Tail Sizing Checks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632460</xdr:colOff>
      <xdr:row>0</xdr:row>
      <xdr:rowOff>106680</xdr:rowOff>
    </xdr:from>
    <xdr:to>
      <xdr:col>1</xdr:col>
      <xdr:colOff>3017520</xdr:colOff>
      <xdr:row>2</xdr:row>
      <xdr:rowOff>129540</xdr:rowOff>
    </xdr:to>
    <xdr:sp macro="" textlink="">
      <xdr:nvSpPr>
        <xdr:cNvPr id="13313" name="WordArt 1">
          <a:extLst>
            <a:ext uri="{FF2B5EF4-FFF2-40B4-BE49-F238E27FC236}">
              <a16:creationId xmlns:a16="http://schemas.microsoft.com/office/drawing/2014/main" id="{ACFE54CB-18DB-67EF-3C46-5E6A0ABE93B8}"/>
            </a:ext>
          </a:extLst>
        </xdr:cNvPr>
        <xdr:cNvSpPr>
          <a:spLocks noChangeArrowheads="1" noChangeShapeType="1" noTextEdit="1"/>
        </xdr:cNvSpPr>
      </xdr:nvSpPr>
      <xdr:spPr bwMode="auto">
        <a:xfrm>
          <a:off x="906780" y="106680"/>
          <a:ext cx="2385060" cy="358140"/>
        </a:xfrm>
        <a:prstGeom prst="rect">
          <a:avLst/>
        </a:prstGeom>
      </xdr:spPr>
      <xdr:txBody>
        <a:bodyPr wrap="none" fromWordArt="1">
          <a:prstTxWarp prst="textPlain">
            <a:avLst>
              <a:gd name="adj" fmla="val 50000"/>
            </a:avLst>
          </a:prstTxWarp>
        </a:bodyPr>
        <a:lstStyle/>
        <a:p>
          <a:pPr algn="ctr" rtl="0">
            <a:buNone/>
          </a:pPr>
          <a:r>
            <a:rPr lang="pl-PL" sz="2400" kern="10" spc="0">
              <a:ln w="9525">
                <a:solidFill>
                  <a:srgbClr val="000000"/>
                </a:solidFill>
                <a:round/>
                <a:headEnd/>
                <a:tailEnd/>
              </a:ln>
              <a:gradFill rotWithShape="0">
                <a:gsLst>
                  <a:gs pos="0">
                    <a:srgbClr xmlns:mc="http://schemas.openxmlformats.org/markup-compatibility/2006" xmlns:a14="http://schemas.microsoft.com/office/drawing/2010/main" val="BEBEFF" mc:Ignorable="a14" a14:legacySpreadsheetColorIndex="12">
                      <a:gamma/>
                      <a:tint val="25490"/>
                      <a:invGamma/>
                    </a:srgbClr>
                  </a:gs>
                  <a:gs pos="100000">
                    <a:srgbClr xmlns:mc="http://schemas.openxmlformats.org/markup-compatibility/2006" xmlns:a14="http://schemas.microsoft.com/office/drawing/2010/main" val="0000FF" mc:Ignorable="a14" a14:legacySpreadsheetColorIndex="12"/>
                  </a:gs>
                </a:gsLst>
                <a:lin ang="5400000" scaled="1"/>
              </a:gradFill>
              <a:effectLst>
                <a:outerShdw dist="35921" dir="2700000" algn="ctr" rotWithShape="0">
                  <a:srgbClr val="808080"/>
                </a:outerShdw>
              </a:effectLst>
              <a:latin typeface="Arial Black" panose="020B0A04020102020204" pitchFamily="34" charset="0"/>
            </a:rPr>
            <a:t>Credits</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2"/>
  <sheetViews>
    <sheetView showGridLines="0" topLeftCell="A25" workbookViewId="0">
      <selection activeCell="B37" sqref="B37"/>
    </sheetView>
  </sheetViews>
  <sheetFormatPr defaultColWidth="9" defaultRowHeight="13.2" x14ac:dyDescent="0.25"/>
  <cols>
    <col min="1" max="1" width="3.59765625" style="106" customWidth="1"/>
    <col min="2" max="2" width="115.69921875" style="106" customWidth="1"/>
    <col min="3" max="16384" width="9" style="106"/>
  </cols>
  <sheetData>
    <row r="1" spans="1:2" x14ac:dyDescent="0.25">
      <c r="B1" s="117" t="s">
        <v>139</v>
      </c>
    </row>
    <row r="6" spans="1:2" ht="12.75" customHeight="1" x14ac:dyDescent="0.25">
      <c r="A6" s="118" t="s">
        <v>114</v>
      </c>
    </row>
    <row r="7" spans="1:2" ht="63" customHeight="1" x14ac:dyDescent="0.25">
      <c r="B7" s="119" t="s">
        <v>189</v>
      </c>
    </row>
    <row r="9" spans="1:2" x14ac:dyDescent="0.25">
      <c r="A9" s="118" t="s">
        <v>90</v>
      </c>
    </row>
    <row r="10" spans="1:2" x14ac:dyDescent="0.25">
      <c r="B10" s="120" t="s">
        <v>102</v>
      </c>
    </row>
    <row r="11" spans="1:2" x14ac:dyDescent="0.25">
      <c r="B11" s="120" t="s">
        <v>88</v>
      </c>
    </row>
    <row r="12" spans="1:2" x14ac:dyDescent="0.25">
      <c r="B12" s="120" t="s">
        <v>89</v>
      </c>
    </row>
    <row r="13" spans="1:2" ht="12" customHeight="1" x14ac:dyDescent="0.25">
      <c r="B13" s="120" t="s">
        <v>159</v>
      </c>
    </row>
    <row r="14" spans="1:2" ht="26.4" x14ac:dyDescent="0.25">
      <c r="B14" s="106" t="s">
        <v>190</v>
      </c>
    </row>
    <row r="16" spans="1:2" x14ac:dyDescent="0.25">
      <c r="A16" s="118" t="s">
        <v>74</v>
      </c>
    </row>
    <row r="17" spans="1:2" ht="38.25" customHeight="1" x14ac:dyDescent="0.25">
      <c r="B17" s="106" t="s">
        <v>140</v>
      </c>
    </row>
    <row r="18" spans="1:2" ht="26.4" x14ac:dyDescent="0.25">
      <c r="B18" s="106" t="s">
        <v>103</v>
      </c>
    </row>
    <row r="19" spans="1:2" ht="39.6" x14ac:dyDescent="0.25">
      <c r="B19" s="106" t="s">
        <v>141</v>
      </c>
    </row>
    <row r="21" spans="1:2" x14ac:dyDescent="0.25">
      <c r="A21" s="118" t="s">
        <v>73</v>
      </c>
    </row>
    <row r="22" spans="1:2" ht="36" customHeight="1" x14ac:dyDescent="0.25">
      <c r="B22" s="107" t="s">
        <v>150</v>
      </c>
    </row>
    <row r="23" spans="1:2" x14ac:dyDescent="0.25">
      <c r="B23" s="107" t="s">
        <v>142</v>
      </c>
    </row>
    <row r="24" spans="1:2" ht="14.25" customHeight="1" x14ac:dyDescent="0.25">
      <c r="B24" s="107"/>
    </row>
    <row r="25" spans="1:2" x14ac:dyDescent="0.25">
      <c r="A25" s="118" t="s">
        <v>98</v>
      </c>
    </row>
    <row r="26" spans="1:2" ht="12" customHeight="1" x14ac:dyDescent="0.25">
      <c r="B26" s="106" t="s">
        <v>151</v>
      </c>
    </row>
    <row r="27" spans="1:2" x14ac:dyDescent="0.25">
      <c r="B27" s="106" t="s">
        <v>157</v>
      </c>
    </row>
    <row r="29" spans="1:2" x14ac:dyDescent="0.25">
      <c r="A29" s="118" t="s">
        <v>137</v>
      </c>
    </row>
    <row r="30" spans="1:2" ht="39.6" x14ac:dyDescent="0.25">
      <c r="B30" s="107" t="s">
        <v>115</v>
      </c>
    </row>
    <row r="31" spans="1:2" x14ac:dyDescent="0.25">
      <c r="B31" s="107" t="s">
        <v>152</v>
      </c>
    </row>
    <row r="33" spans="1:2" x14ac:dyDescent="0.25">
      <c r="A33" s="118" t="s">
        <v>99</v>
      </c>
    </row>
    <row r="34" spans="1:2" x14ac:dyDescent="0.25">
      <c r="B34" s="106" t="s">
        <v>149</v>
      </c>
    </row>
    <row r="36" spans="1:2" x14ac:dyDescent="0.25">
      <c r="A36" s="118" t="s">
        <v>138</v>
      </c>
    </row>
    <row r="37" spans="1:2" ht="39.6" x14ac:dyDescent="0.25">
      <c r="B37" s="107" t="s">
        <v>115</v>
      </c>
    </row>
    <row r="38" spans="1:2" x14ac:dyDescent="0.25">
      <c r="B38" s="107" t="s">
        <v>153</v>
      </c>
    </row>
    <row r="40" spans="1:2" x14ac:dyDescent="0.25">
      <c r="A40" s="118" t="s">
        <v>87</v>
      </c>
    </row>
    <row r="41" spans="1:2" x14ac:dyDescent="0.25">
      <c r="B41" s="106" t="s">
        <v>154</v>
      </c>
    </row>
    <row r="42" spans="1:2" x14ac:dyDescent="0.25">
      <c r="B42" s="106" t="s">
        <v>155</v>
      </c>
    </row>
    <row r="43" spans="1:2" ht="26.4" x14ac:dyDescent="0.25">
      <c r="B43" s="119" t="s">
        <v>156</v>
      </c>
    </row>
    <row r="44" spans="1:2" x14ac:dyDescent="0.25">
      <c r="B44" s="83"/>
    </row>
    <row r="45" spans="1:2" x14ac:dyDescent="0.25">
      <c r="A45" s="118" t="s">
        <v>60</v>
      </c>
    </row>
    <row r="46" spans="1:2" ht="26.4" x14ac:dyDescent="0.25">
      <c r="B46" s="106" t="s">
        <v>78</v>
      </c>
    </row>
    <row r="48" spans="1:2" x14ac:dyDescent="0.25">
      <c r="A48" s="118" t="s">
        <v>147</v>
      </c>
    </row>
    <row r="49" spans="1:2" x14ac:dyDescent="0.25">
      <c r="B49" s="106" t="s">
        <v>148</v>
      </c>
    </row>
    <row r="51" spans="1:2" x14ac:dyDescent="0.25">
      <c r="A51" s="118" t="s">
        <v>185</v>
      </c>
    </row>
    <row r="52" spans="1:2" x14ac:dyDescent="0.25">
      <c r="A52" s="106" t="s">
        <v>186</v>
      </c>
    </row>
  </sheetData>
  <phoneticPr fontId="0" type="noConversion"/>
  <pageMargins left="0.75" right="0.75" top="1" bottom="1" header="0.5" footer="0.5"/>
  <pageSetup orientation="portrait" horizontalDpi="4294967294" verticalDpi="4294967294"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5:C30"/>
  <sheetViews>
    <sheetView showGridLines="0" topLeftCell="A10" workbookViewId="0">
      <selection activeCell="B18" sqref="B18"/>
    </sheetView>
  </sheetViews>
  <sheetFormatPr defaultColWidth="9" defaultRowHeight="13.2" x14ac:dyDescent="0.25"/>
  <cols>
    <col min="1" max="1" width="3.59765625" style="106" customWidth="1"/>
    <col min="2" max="2" width="117" style="106" customWidth="1"/>
    <col min="3" max="16384" width="9" style="106"/>
  </cols>
  <sheetData>
    <row r="5" spans="2:2" x14ac:dyDescent="0.25">
      <c r="B5" s="108" t="s">
        <v>172</v>
      </c>
    </row>
    <row r="6" spans="2:2" x14ac:dyDescent="0.25">
      <c r="B6" s="107" t="s">
        <v>162</v>
      </c>
    </row>
    <row r="7" spans="2:2" ht="14.25" customHeight="1" x14ac:dyDescent="0.25">
      <c r="B7" s="123" t="s">
        <v>167</v>
      </c>
    </row>
    <row r="8" spans="2:2" x14ac:dyDescent="0.25">
      <c r="B8" s="124" t="s">
        <v>177</v>
      </c>
    </row>
    <row r="9" spans="2:2" x14ac:dyDescent="0.25">
      <c r="B9" s="108" t="s">
        <v>171</v>
      </c>
    </row>
    <row r="10" spans="2:2" ht="12.75" customHeight="1" x14ac:dyDescent="0.25">
      <c r="B10" s="125" t="s">
        <v>176</v>
      </c>
    </row>
    <row r="11" spans="2:2" x14ac:dyDescent="0.25">
      <c r="B11" s="108" t="s">
        <v>170</v>
      </c>
    </row>
    <row r="12" spans="2:2" x14ac:dyDescent="0.25">
      <c r="B12" s="122" t="s">
        <v>175</v>
      </c>
    </row>
    <row r="13" spans="2:2" x14ac:dyDescent="0.25">
      <c r="B13" s="108" t="s">
        <v>3</v>
      </c>
    </row>
    <row r="14" spans="2:2" x14ac:dyDescent="0.25">
      <c r="B14" s="106" t="s">
        <v>163</v>
      </c>
    </row>
    <row r="15" spans="2:2" x14ac:dyDescent="0.25">
      <c r="B15" s="108" t="s">
        <v>53</v>
      </c>
    </row>
    <row r="16" spans="2:2" x14ac:dyDescent="0.25">
      <c r="B16" s="106" t="s">
        <v>181</v>
      </c>
    </row>
    <row r="17" spans="2:3" x14ac:dyDescent="0.25">
      <c r="B17" s="108" t="s">
        <v>169</v>
      </c>
    </row>
    <row r="18" spans="2:3" x14ac:dyDescent="0.25">
      <c r="B18" s="106" t="s">
        <v>164</v>
      </c>
    </row>
    <row r="19" spans="2:3" s="121" customFormat="1" x14ac:dyDescent="0.25">
      <c r="B19" s="108" t="s">
        <v>174</v>
      </c>
    </row>
    <row r="20" spans="2:3" s="121" customFormat="1" x14ac:dyDescent="0.25">
      <c r="B20" s="121" t="s">
        <v>182</v>
      </c>
      <c r="C20" s="3"/>
    </row>
    <row r="21" spans="2:3" x14ac:dyDescent="0.25">
      <c r="B21" s="123" t="s">
        <v>166</v>
      </c>
      <c r="C21" s="3"/>
    </row>
    <row r="22" spans="2:3" ht="15.75" customHeight="1" x14ac:dyDescent="0.25">
      <c r="B22" s="124" t="s">
        <v>178</v>
      </c>
    </row>
    <row r="23" spans="2:3" x14ac:dyDescent="0.25">
      <c r="B23" s="108" t="s">
        <v>160</v>
      </c>
    </row>
    <row r="24" spans="2:3" x14ac:dyDescent="0.25">
      <c r="B24" s="106" t="s">
        <v>165</v>
      </c>
      <c r="C24" s="3"/>
    </row>
    <row r="25" spans="2:3" x14ac:dyDescent="0.25">
      <c r="B25" s="123" t="s">
        <v>2</v>
      </c>
    </row>
    <row r="26" spans="2:3" x14ac:dyDescent="0.25">
      <c r="B26" s="124" t="s">
        <v>168</v>
      </c>
    </row>
    <row r="27" spans="2:3" x14ac:dyDescent="0.25">
      <c r="B27" s="108" t="s">
        <v>173</v>
      </c>
    </row>
    <row r="28" spans="2:3" ht="26.4" x14ac:dyDescent="0.25">
      <c r="B28" s="106" t="s">
        <v>179</v>
      </c>
      <c r="C28" s="3"/>
    </row>
    <row r="29" spans="2:3" x14ac:dyDescent="0.25">
      <c r="B29" s="108" t="s">
        <v>161</v>
      </c>
    </row>
    <row r="30" spans="2:3" x14ac:dyDescent="0.25">
      <c r="B30" s="106" t="s">
        <v>180</v>
      </c>
    </row>
  </sheetData>
  <sheetProtection sheet="1" objects="1" scenarios="1"/>
  <phoneticPr fontId="0" type="noConversion"/>
  <pageMargins left="0.75" right="0.75" top="1" bottom="1" header="0.5" footer="0.5"/>
  <pageSetup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7" transitionEvaluation="1">
    <pageSetUpPr fitToPage="1"/>
  </sheetPr>
  <dimension ref="A6:X60"/>
  <sheetViews>
    <sheetView showGridLines="0" topLeftCell="A7" zoomScale="70" zoomScaleNormal="70" workbookViewId="0">
      <selection activeCell="E24" sqref="E24:F24"/>
    </sheetView>
  </sheetViews>
  <sheetFormatPr defaultColWidth="10.59765625" defaultRowHeight="13.2" x14ac:dyDescent="0.25"/>
  <cols>
    <col min="1" max="1" width="6.8984375" style="3" customWidth="1"/>
    <col min="2" max="2" width="16.3984375" style="3" customWidth="1"/>
    <col min="3" max="3" width="8.8984375" style="3" customWidth="1"/>
    <col min="4" max="4" width="11.3984375" style="3" customWidth="1"/>
    <col min="5" max="5" width="6" style="3" customWidth="1"/>
    <col min="6" max="6" width="9" style="3" customWidth="1"/>
    <col min="7" max="7" width="12.3984375" style="3" customWidth="1"/>
    <col min="8" max="8" width="12" style="3" bestFit="1" customWidth="1"/>
    <col min="9" max="9" width="11.5" style="3" customWidth="1"/>
    <col min="10" max="10" width="18.3984375" style="3" customWidth="1"/>
    <col min="11" max="11" width="16.59765625" style="3" bestFit="1" customWidth="1"/>
    <col min="12" max="12" width="11.69921875" style="3" customWidth="1"/>
    <col min="13" max="13" width="11" style="3" customWidth="1"/>
    <col min="14" max="14" width="5.59765625" style="3" customWidth="1"/>
    <col min="15" max="15" width="5.69921875" style="3" customWidth="1"/>
    <col min="16" max="16" width="6.69921875" style="3" customWidth="1"/>
    <col min="17" max="17" width="10.59765625" style="3"/>
    <col min="18" max="18" width="20.19921875" style="3" customWidth="1"/>
    <col min="19" max="19" width="3.59765625" style="3" customWidth="1"/>
    <col min="20" max="20" width="9.19921875" style="3" bestFit="1" customWidth="1"/>
    <col min="21" max="21" width="13.69921875" style="3" bestFit="1" customWidth="1"/>
    <col min="22" max="16384" width="10.59765625" style="3"/>
  </cols>
  <sheetData>
    <row r="6" spans="1:15" ht="12.75" customHeight="1" x14ac:dyDescent="0.3">
      <c r="A6" s="16"/>
      <c r="B6" s="1" t="s">
        <v>0</v>
      </c>
    </row>
    <row r="7" spans="1:15" ht="12.75" customHeight="1" x14ac:dyDescent="0.3">
      <c r="A7" s="16"/>
      <c r="B7" s="111">
        <v>700</v>
      </c>
    </row>
    <row r="8" spans="1:15" ht="12.75" customHeight="1" x14ac:dyDescent="0.3">
      <c r="A8" s="16"/>
      <c r="J8" s="27" t="s">
        <v>2</v>
      </c>
      <c r="K8" s="27" t="s">
        <v>3</v>
      </c>
      <c r="L8" s="27" t="s">
        <v>2</v>
      </c>
      <c r="M8" s="27" t="s">
        <v>3</v>
      </c>
      <c r="N8" s="27" t="s">
        <v>2</v>
      </c>
      <c r="O8" s="27" t="s">
        <v>3</v>
      </c>
    </row>
    <row r="9" spans="1:15" ht="12.75" customHeight="1" x14ac:dyDescent="0.3">
      <c r="A9" s="16"/>
      <c r="J9" s="27">
        <v>0</v>
      </c>
      <c r="K9" s="27">
        <v>0</v>
      </c>
      <c r="L9" s="27">
        <f>J11</f>
        <v>191</v>
      </c>
      <c r="M9" s="27">
        <f>K11</f>
        <v>41</v>
      </c>
      <c r="N9" s="27">
        <f>L10</f>
        <v>191</v>
      </c>
      <c r="O9" s="27">
        <f>M10</f>
        <v>41</v>
      </c>
    </row>
    <row r="10" spans="1:15" ht="12.75" customHeight="1" x14ac:dyDescent="0.3">
      <c r="A10" s="16"/>
      <c r="C10" s="28" t="s">
        <v>1</v>
      </c>
      <c r="F10" s="28" t="s">
        <v>1</v>
      </c>
      <c r="J10" s="27">
        <v>0</v>
      </c>
      <c r="K10" s="27">
        <f>B14</f>
        <v>50</v>
      </c>
      <c r="L10" s="27">
        <f>C17+F17</f>
        <v>191</v>
      </c>
      <c r="M10" s="27">
        <f>M9-F11</f>
        <v>41</v>
      </c>
      <c r="N10" s="27">
        <f>C17+F17+H17</f>
        <v>191</v>
      </c>
      <c r="O10" s="27">
        <f>O9-H12</f>
        <v>41</v>
      </c>
    </row>
    <row r="11" spans="1:15" ht="12.75" customHeight="1" x14ac:dyDescent="0.3">
      <c r="A11" s="16"/>
      <c r="C11" s="111">
        <v>9</v>
      </c>
      <c r="F11" s="111">
        <v>0</v>
      </c>
      <c r="H11" s="28" t="s">
        <v>1</v>
      </c>
      <c r="J11" s="27">
        <f>C17</f>
        <v>191</v>
      </c>
      <c r="K11" s="27">
        <f>B14-C11</f>
        <v>41</v>
      </c>
      <c r="L11" s="27">
        <f>C17+F17</f>
        <v>191</v>
      </c>
      <c r="M11" s="27">
        <f>M10-G14</f>
        <v>41</v>
      </c>
      <c r="N11" s="27">
        <f>C17+F17+H17</f>
        <v>191</v>
      </c>
      <c r="O11" s="27">
        <f>O10-I14</f>
        <v>41</v>
      </c>
    </row>
    <row r="12" spans="1:15" ht="12.75" customHeight="1" x14ac:dyDescent="0.3">
      <c r="A12" s="16"/>
      <c r="H12" s="111">
        <v>0</v>
      </c>
      <c r="J12" s="27">
        <f>C17</f>
        <v>191</v>
      </c>
      <c r="K12" s="27">
        <f>K11-D14</f>
        <v>21</v>
      </c>
      <c r="L12" s="27">
        <f>J12</f>
        <v>191</v>
      </c>
      <c r="M12" s="27">
        <f>K12</f>
        <v>21</v>
      </c>
      <c r="N12" s="27">
        <f>L11</f>
        <v>191</v>
      </c>
      <c r="O12" s="27">
        <f>M11</f>
        <v>41</v>
      </c>
    </row>
    <row r="13" spans="1:15" ht="12.75" customHeight="1" x14ac:dyDescent="0.3">
      <c r="A13" s="16"/>
      <c r="B13" s="28" t="s">
        <v>4</v>
      </c>
      <c r="D13" s="28" t="s">
        <v>5</v>
      </c>
      <c r="G13" s="28" t="s">
        <v>45</v>
      </c>
      <c r="I13" s="28" t="s">
        <v>6</v>
      </c>
      <c r="J13" s="27">
        <v>0</v>
      </c>
      <c r="K13" s="27">
        <v>0</v>
      </c>
      <c r="L13" s="27"/>
      <c r="M13" s="27"/>
      <c r="N13" s="27"/>
      <c r="O13" s="27"/>
    </row>
    <row r="14" spans="1:15" ht="12.75" customHeight="1" x14ac:dyDescent="0.3">
      <c r="A14" s="16"/>
      <c r="B14" s="111">
        <v>50</v>
      </c>
      <c r="D14" s="111">
        <v>20</v>
      </c>
      <c r="G14" s="111">
        <v>0</v>
      </c>
      <c r="I14" s="111">
        <v>0</v>
      </c>
      <c r="J14" s="27"/>
      <c r="K14" s="27"/>
      <c r="L14" s="27"/>
      <c r="M14" s="27"/>
      <c r="N14" s="27"/>
      <c r="O14" s="27"/>
    </row>
    <row r="15" spans="1:15" ht="12.75" customHeight="1" x14ac:dyDescent="0.3">
      <c r="A15" s="16"/>
      <c r="B15" s="29"/>
      <c r="C15" s="29"/>
      <c r="D15" s="29"/>
      <c r="E15" s="29"/>
      <c r="F15" s="29"/>
      <c r="G15" s="29"/>
      <c r="H15" s="29"/>
      <c r="J15" s="28"/>
      <c r="K15" s="93"/>
      <c r="L15" s="27"/>
      <c r="M15" s="27"/>
      <c r="N15" s="27"/>
      <c r="O15" s="27"/>
    </row>
    <row r="16" spans="1:15" ht="12.75" customHeight="1" x14ac:dyDescent="0.3">
      <c r="A16" s="16"/>
      <c r="C16" s="28" t="s">
        <v>7</v>
      </c>
      <c r="F16" s="30" t="s">
        <v>8</v>
      </c>
      <c r="G16" s="109"/>
      <c r="H16" s="28" t="s">
        <v>46</v>
      </c>
      <c r="J16" s="96"/>
      <c r="K16" s="95"/>
      <c r="L16" s="27"/>
      <c r="M16" s="27"/>
      <c r="N16" s="27"/>
      <c r="O16" s="27"/>
    </row>
    <row r="17" spans="1:24" ht="12.75" customHeight="1" x14ac:dyDescent="0.3">
      <c r="A17" s="16"/>
      <c r="C17" s="111">
        <v>191</v>
      </c>
      <c r="D17" s="2"/>
      <c r="F17" s="111">
        <v>0</v>
      </c>
      <c r="G17" s="2"/>
      <c r="H17" s="111">
        <v>0</v>
      </c>
    </row>
    <row r="18" spans="1:24" ht="12.75" customHeight="1" x14ac:dyDescent="0.3">
      <c r="A18" s="16"/>
      <c r="D18" s="27"/>
      <c r="G18" s="27"/>
    </row>
    <row r="19" spans="1:24" ht="12.75" customHeight="1" x14ac:dyDescent="0.3">
      <c r="A19" s="16"/>
      <c r="D19" s="2"/>
      <c r="E19" s="27"/>
      <c r="G19" s="2"/>
    </row>
    <row r="20" spans="1:24" ht="30" customHeight="1" x14ac:dyDescent="0.3">
      <c r="A20" s="16"/>
      <c r="B20" s="126" t="s">
        <v>58</v>
      </c>
      <c r="C20" s="127"/>
    </row>
    <row r="21" spans="1:24" ht="15.75" customHeight="1" x14ac:dyDescent="0.3">
      <c r="A21" s="16"/>
      <c r="B21" s="111">
        <v>0</v>
      </c>
      <c r="J21" s="31"/>
    </row>
    <row r="22" spans="1:24" ht="12.75" customHeight="1" x14ac:dyDescent="0.3">
      <c r="A22" s="16"/>
      <c r="J22" s="31"/>
    </row>
    <row r="23" spans="1:24" ht="12.75" customHeight="1" x14ac:dyDescent="0.3">
      <c r="A23" s="16"/>
    </row>
    <row r="24" spans="1:24" ht="24" customHeight="1" x14ac:dyDescent="0.3">
      <c r="A24" s="16"/>
      <c r="B24" s="126" t="s">
        <v>59</v>
      </c>
      <c r="C24" s="127"/>
    </row>
    <row r="25" spans="1:24" ht="12.75" customHeight="1" x14ac:dyDescent="0.3">
      <c r="A25" s="16"/>
      <c r="B25" s="111">
        <v>60</v>
      </c>
      <c r="G25" s="92"/>
    </row>
    <row r="26" spans="1:24" ht="12.75" customHeight="1" x14ac:dyDescent="0.3">
      <c r="A26" s="16"/>
      <c r="G26" s="92"/>
    </row>
    <row r="27" spans="1:24" ht="12.75" customHeight="1" x14ac:dyDescent="0.3">
      <c r="A27" s="16"/>
      <c r="J27" s="27"/>
      <c r="K27" s="47"/>
      <c r="L27" s="47"/>
      <c r="M27" s="47"/>
    </row>
    <row r="28" spans="1:24" ht="12.75" customHeight="1" x14ac:dyDescent="0.3">
      <c r="A28" s="16"/>
      <c r="J28" s="2"/>
      <c r="K28" s="82"/>
      <c r="L28" s="33"/>
      <c r="M28" s="82"/>
      <c r="S28" s="90"/>
      <c r="V28" s="24"/>
      <c r="W28" s="100"/>
    </row>
    <row r="29" spans="1:24" ht="12.75" customHeight="1" x14ac:dyDescent="0.3">
      <c r="A29" s="16"/>
      <c r="J29" s="101"/>
      <c r="K29" s="27"/>
      <c r="L29" s="33"/>
      <c r="M29" s="82"/>
      <c r="Q29" s="1"/>
      <c r="S29" s="27"/>
      <c r="T29" s="90"/>
      <c r="U29" s="97"/>
      <c r="V29" s="24"/>
      <c r="W29" s="23"/>
    </row>
    <row r="30" spans="1:24" s="27" customFormat="1" ht="12.75" customHeight="1" x14ac:dyDescent="0.3">
      <c r="A30" s="16"/>
      <c r="B30" s="3"/>
      <c r="C30" s="3"/>
      <c r="D30" s="3"/>
      <c r="E30" s="3"/>
      <c r="F30" s="3"/>
      <c r="G30" s="3"/>
      <c r="H30" s="3"/>
      <c r="I30" s="3"/>
      <c r="J30" s="101"/>
      <c r="K30" s="82"/>
      <c r="M30" s="82"/>
      <c r="N30" s="24"/>
      <c r="O30" s="3"/>
      <c r="P30" s="3"/>
      <c r="Q30" s="1"/>
      <c r="R30" s="3"/>
      <c r="T30" s="24"/>
      <c r="U30" s="2"/>
      <c r="V30" s="24"/>
      <c r="W30" s="3"/>
    </row>
    <row r="31" spans="1:24" s="27" customFormat="1" ht="12.75" customHeight="1" x14ac:dyDescent="0.3">
      <c r="A31" s="16"/>
      <c r="B31" s="3"/>
      <c r="C31" s="3"/>
      <c r="D31" s="3"/>
      <c r="E31" s="3"/>
      <c r="F31" s="3"/>
      <c r="G31" s="3"/>
      <c r="H31" s="3"/>
      <c r="I31" s="3"/>
      <c r="J31" s="1"/>
      <c r="N31" s="99"/>
      <c r="O31" s="24"/>
      <c r="P31" s="3"/>
      <c r="Q31" s="3"/>
      <c r="R31" s="3"/>
      <c r="S31" s="3"/>
      <c r="T31" s="3"/>
    </row>
    <row r="32" spans="1:24" x14ac:dyDescent="0.25">
      <c r="B32" s="4"/>
      <c r="J32" s="1"/>
      <c r="L32" s="27"/>
      <c r="M32" s="98"/>
      <c r="N32" s="99"/>
      <c r="O32" s="24"/>
      <c r="Q32" s="27"/>
      <c r="R32" s="27"/>
      <c r="S32" s="27"/>
      <c r="T32" s="27"/>
      <c r="U32" s="27"/>
      <c r="V32" s="27"/>
      <c r="W32" s="27"/>
      <c r="X32" s="27"/>
    </row>
    <row r="33" spans="1:22" x14ac:dyDescent="0.25">
      <c r="B33" s="4"/>
      <c r="E33" s="27"/>
      <c r="M33" s="27"/>
      <c r="N33" s="27"/>
      <c r="P33" s="27"/>
      <c r="Q33" s="27"/>
      <c r="R33" s="27"/>
      <c r="S33" s="27"/>
      <c r="T33" s="27"/>
    </row>
    <row r="34" spans="1:22" x14ac:dyDescent="0.25">
      <c r="B34" s="4"/>
      <c r="M34" s="27"/>
      <c r="N34" s="27"/>
      <c r="O34" s="27"/>
      <c r="P34" s="27"/>
    </row>
    <row r="35" spans="1:22" ht="22.8" x14ac:dyDescent="0.4">
      <c r="B35" s="4"/>
      <c r="D35" s="26"/>
      <c r="H35" s="28" t="s">
        <v>53</v>
      </c>
      <c r="K35" s="27" t="s">
        <v>2</v>
      </c>
      <c r="L35" s="27" t="s">
        <v>3</v>
      </c>
      <c r="O35" s="27"/>
    </row>
    <row r="36" spans="1:22" ht="12" customHeight="1" x14ac:dyDescent="0.25">
      <c r="B36" s="4"/>
      <c r="H36" s="111">
        <v>0</v>
      </c>
      <c r="K36" s="3">
        <v>0</v>
      </c>
      <c r="L36" s="3">
        <v>0</v>
      </c>
    </row>
    <row r="37" spans="1:22" x14ac:dyDescent="0.25">
      <c r="B37" s="4"/>
      <c r="G37" s="28" t="s">
        <v>53</v>
      </c>
      <c r="K37" s="3">
        <f>C17</f>
        <v>191</v>
      </c>
      <c r="L37" s="3">
        <f>E40</f>
        <v>12.4</v>
      </c>
    </row>
    <row r="38" spans="1:22" x14ac:dyDescent="0.25">
      <c r="B38" s="4"/>
      <c r="G38" s="111">
        <v>0</v>
      </c>
      <c r="K38" s="3">
        <f>IF(F17=0,K37,C17+F17)</f>
        <v>191</v>
      </c>
      <c r="L38" s="3">
        <f>IF(G41=0,L37,G38)</f>
        <v>12.4</v>
      </c>
    </row>
    <row r="39" spans="1:22" x14ac:dyDescent="0.25">
      <c r="B39" s="4"/>
      <c r="E39" s="28" t="s">
        <v>53</v>
      </c>
      <c r="K39" s="3">
        <f>IF(H17=0,K38,C17+F17+H17)</f>
        <v>191</v>
      </c>
      <c r="L39" s="3">
        <f>IF(H41=0,L38,H36)</f>
        <v>12.4</v>
      </c>
      <c r="R39" s="27"/>
      <c r="S39" s="27"/>
      <c r="T39" s="27"/>
      <c r="U39" s="27"/>
      <c r="V39" s="27"/>
    </row>
    <row r="40" spans="1:22" x14ac:dyDescent="0.25">
      <c r="B40" s="4"/>
      <c r="E40" s="111">
        <v>12.4</v>
      </c>
      <c r="L40" s="27"/>
      <c r="R40" s="27"/>
      <c r="S40" s="27"/>
      <c r="T40" s="27"/>
      <c r="U40" s="27"/>
      <c r="V40" s="27"/>
    </row>
    <row r="41" spans="1:22" x14ac:dyDescent="0.25">
      <c r="B41" s="4"/>
      <c r="D41" s="32" t="s">
        <v>69</v>
      </c>
      <c r="E41" s="33">
        <f>ASIN(E40/C17)*(180/(PI()))</f>
        <v>3.7223439497102544</v>
      </c>
      <c r="F41" s="34"/>
      <c r="G41" s="33" t="str">
        <f>IF(F17=0,"0.0",ASIN((G38-E40)/F17)*(180/(PI())))</f>
        <v>0.0</v>
      </c>
      <c r="H41" s="33" t="str">
        <f>IF(H17=0,"0.0",ASIN((H36-G38)/H17)*(180/(PI())))</f>
        <v>0.0</v>
      </c>
      <c r="L41" s="27"/>
      <c r="R41" s="27"/>
      <c r="S41" s="27"/>
      <c r="T41" s="27"/>
      <c r="U41" s="27"/>
      <c r="V41" s="27"/>
    </row>
    <row r="42" spans="1:22" x14ac:dyDescent="0.25">
      <c r="B42" s="4"/>
      <c r="L42" s="27"/>
      <c r="R42" s="27"/>
      <c r="S42" s="27"/>
      <c r="T42" s="27"/>
      <c r="U42" s="27"/>
      <c r="V42" s="27"/>
    </row>
    <row r="43" spans="1:22" x14ac:dyDescent="0.25">
      <c r="B43" s="4"/>
      <c r="L43" s="27"/>
      <c r="R43" s="27"/>
      <c r="S43" s="27"/>
      <c r="T43" s="27"/>
      <c r="U43" s="27"/>
      <c r="V43" s="27"/>
    </row>
    <row r="44" spans="1:22" ht="17.399999999999999" x14ac:dyDescent="0.3">
      <c r="A44" s="130" t="s">
        <v>187</v>
      </c>
      <c r="B44" s="131"/>
      <c r="C44" s="131"/>
      <c r="D44" s="27"/>
      <c r="E44" s="91"/>
      <c r="F44" s="102" t="s">
        <v>126</v>
      </c>
      <c r="H44" s="23"/>
      <c r="I44" s="2"/>
      <c r="L44" s="27"/>
    </row>
    <row r="45" spans="1:22" x14ac:dyDescent="0.25">
      <c r="A45" s="2" t="s">
        <v>17</v>
      </c>
      <c r="C45" s="23">
        <f>2*(C17+F17+H17)</f>
        <v>382</v>
      </c>
      <c r="D45" s="2" t="s">
        <v>9</v>
      </c>
      <c r="F45" s="2" t="s">
        <v>127</v>
      </c>
      <c r="H45" s="116">
        <v>20</v>
      </c>
      <c r="I45" s="2" t="s">
        <v>128</v>
      </c>
      <c r="L45" s="27"/>
    </row>
    <row r="46" spans="1:22" x14ac:dyDescent="0.25">
      <c r="A46" s="2" t="s">
        <v>18</v>
      </c>
      <c r="C46" s="23">
        <f>C45*C48</f>
        <v>13370</v>
      </c>
      <c r="D46" s="2" t="s">
        <v>14</v>
      </c>
      <c r="F46" s="2" t="s">
        <v>129</v>
      </c>
      <c r="H46" s="103">
        <f>9360*H45*(C48*0.0833333)</f>
        <v>545999.78159999999</v>
      </c>
      <c r="I46" s="2"/>
      <c r="L46" s="27"/>
    </row>
    <row r="47" spans="1:22" x14ac:dyDescent="0.25">
      <c r="A47" s="2" t="s">
        <v>19</v>
      </c>
      <c r="C47" s="23">
        <f>B7/C46*144</f>
        <v>7.5392670157068062</v>
      </c>
      <c r="D47" s="2" t="s">
        <v>20</v>
      </c>
      <c r="L47" s="27"/>
    </row>
    <row r="48" spans="1:22" x14ac:dyDescent="0.25">
      <c r="A48" s="2" t="s">
        <v>21</v>
      </c>
      <c r="C48" s="23">
        <f>(C55+H55+L55)/(C17+F17+H17)</f>
        <v>35</v>
      </c>
      <c r="D48" s="2" t="s">
        <v>9</v>
      </c>
      <c r="G48" s="4"/>
    </row>
    <row r="49" spans="1:13" x14ac:dyDescent="0.25">
      <c r="A49" s="2" t="s">
        <v>51</v>
      </c>
      <c r="C49" s="23">
        <f>C45/C48</f>
        <v>10.914285714285715</v>
      </c>
      <c r="D49" s="2"/>
      <c r="E49" s="2"/>
      <c r="F49" s="2"/>
      <c r="G49" s="4"/>
      <c r="L49" s="27"/>
    </row>
    <row r="50" spans="1:13" x14ac:dyDescent="0.25">
      <c r="A50" s="2" t="s">
        <v>22</v>
      </c>
      <c r="C50" s="23">
        <f>(C55*C56+H55*H56+L55*L56)/C46*2-C48*0.25</f>
        <v>4.3928571428571459</v>
      </c>
      <c r="D50" s="2" t="s">
        <v>9</v>
      </c>
      <c r="E50" s="2"/>
      <c r="G50" s="4"/>
      <c r="L50" s="27"/>
    </row>
    <row r="51" spans="1:13" x14ac:dyDescent="0.25">
      <c r="A51" s="2" t="s">
        <v>23</v>
      </c>
      <c r="C51" s="23">
        <f>C50+C48*0.25</f>
        <v>13.142857142857146</v>
      </c>
      <c r="D51" s="2" t="s">
        <v>9</v>
      </c>
      <c r="G51" s="4"/>
      <c r="K51" s="82"/>
    </row>
    <row r="52" spans="1:13" x14ac:dyDescent="0.25">
      <c r="A52" s="2"/>
      <c r="C52" s="23"/>
      <c r="D52" s="2"/>
      <c r="E52" s="2"/>
      <c r="F52" s="2"/>
      <c r="G52" s="4"/>
      <c r="J52" s="82"/>
      <c r="L52" s="27"/>
    </row>
    <row r="53" spans="1:13" x14ac:dyDescent="0.25">
      <c r="A53" s="2"/>
      <c r="C53" s="23"/>
      <c r="D53" s="2"/>
      <c r="E53" s="2"/>
      <c r="F53" s="2"/>
      <c r="G53" s="4"/>
      <c r="J53" s="82"/>
      <c r="L53" s="27"/>
    </row>
    <row r="54" spans="1:13" x14ac:dyDescent="0.25">
      <c r="A54" s="128" t="s">
        <v>11</v>
      </c>
      <c r="B54" s="129"/>
      <c r="C54" s="129"/>
      <c r="D54" s="27"/>
      <c r="E54" s="128" t="s">
        <v>12</v>
      </c>
      <c r="F54" s="128"/>
      <c r="G54" s="129"/>
      <c r="H54" s="129"/>
      <c r="I54" s="27"/>
      <c r="J54" s="128" t="s">
        <v>47</v>
      </c>
      <c r="K54" s="129"/>
      <c r="L54" s="129"/>
      <c r="M54" s="27"/>
    </row>
    <row r="55" spans="1:13" x14ac:dyDescent="0.25">
      <c r="A55" s="2" t="s">
        <v>13</v>
      </c>
      <c r="C55" s="23">
        <f>C17*(B14+D14)/2</f>
        <v>6685</v>
      </c>
      <c r="D55" s="3" t="s">
        <v>14</v>
      </c>
      <c r="E55" s="2" t="s">
        <v>15</v>
      </c>
      <c r="F55" s="2"/>
      <c r="H55" s="24" t="str">
        <f>IF(F17=0,"0",F17*(D14+G14)/2)</f>
        <v>0</v>
      </c>
      <c r="I55" s="3" t="s">
        <v>14</v>
      </c>
      <c r="J55" s="2" t="s">
        <v>48</v>
      </c>
      <c r="L55" s="24" t="str">
        <f>IF(H17=0,"0",H17*(G14+I14)/2)</f>
        <v>0</v>
      </c>
      <c r="M55" s="3" t="s">
        <v>14</v>
      </c>
    </row>
    <row r="56" spans="1:13" x14ac:dyDescent="0.25">
      <c r="A56" s="2" t="s">
        <v>16</v>
      </c>
      <c r="C56" s="23">
        <f>C11*(B14+2*D14)/3/(B14+D14)+(B14+D14-B14*D14/(B14+D14))/6</f>
        <v>13.142857142857144</v>
      </c>
      <c r="D56" s="3" t="s">
        <v>9</v>
      </c>
      <c r="E56" s="2" t="s">
        <v>49</v>
      </c>
      <c r="F56" s="2"/>
      <c r="H56" s="24" t="str">
        <f>IF(G14=0,"0",F11*(D14+2*G14)/3/(D14+G14)+(D14+G14-D14*G14/(D14+G14))/6+C11)</f>
        <v>0</v>
      </c>
      <c r="I56" s="3" t="s">
        <v>9</v>
      </c>
      <c r="J56" s="2" t="s">
        <v>50</v>
      </c>
      <c r="L56" s="24" t="str">
        <f>IF(I14=0,"0",H12*(G14+2*I14)/3/(G14+I14)+(G14+I14-G14*I14/(G14+I14))/6+C11+F11)</f>
        <v>0</v>
      </c>
      <c r="M56" s="3" t="s">
        <v>9</v>
      </c>
    </row>
    <row r="57" spans="1:13" x14ac:dyDescent="0.25">
      <c r="A57" s="2"/>
      <c r="C57" s="23"/>
      <c r="E57" s="2"/>
      <c r="F57" s="2"/>
      <c r="H57" s="24"/>
      <c r="J57" s="2"/>
      <c r="L57" s="24"/>
    </row>
    <row r="58" spans="1:13" x14ac:dyDescent="0.25">
      <c r="A58" s="2"/>
      <c r="C58" s="23"/>
      <c r="E58" s="2"/>
      <c r="F58" s="2"/>
      <c r="H58" s="24"/>
      <c r="J58" s="2"/>
      <c r="L58" s="24"/>
    </row>
    <row r="59" spans="1:13" x14ac:dyDescent="0.25">
      <c r="A59" s="27"/>
      <c r="B59" s="27"/>
      <c r="C59" s="96"/>
      <c r="D59" s="27"/>
      <c r="E59" s="27"/>
      <c r="F59" s="27"/>
      <c r="G59" s="27"/>
      <c r="H59" s="27"/>
      <c r="I59" s="27"/>
      <c r="J59" s="27"/>
      <c r="K59" s="27"/>
    </row>
    <row r="60" spans="1:13" x14ac:dyDescent="0.25">
      <c r="A60" s="27"/>
      <c r="B60" s="27"/>
      <c r="C60" s="27"/>
      <c r="D60" s="27"/>
      <c r="E60" s="27"/>
      <c r="F60" s="27"/>
      <c r="G60" s="27"/>
      <c r="H60" s="27"/>
      <c r="I60" s="27"/>
      <c r="J60" s="27"/>
      <c r="K60" s="27"/>
    </row>
  </sheetData>
  <sheetProtection sheet="1" objects="1" scenarios="1"/>
  <mergeCells count="6">
    <mergeCell ref="B20:C20"/>
    <mergeCell ref="J54:L54"/>
    <mergeCell ref="B24:C24"/>
    <mergeCell ref="A54:C54"/>
    <mergeCell ref="A44:C44"/>
    <mergeCell ref="E54:H54"/>
  </mergeCells>
  <phoneticPr fontId="0" type="noConversion"/>
  <printOptions horizontalCentered="1" gridLinesSet="0"/>
  <pageMargins left="0.5" right="0.5" top="1" bottom="1" header="0.5" footer="0.5"/>
  <pageSetup orientation="landscape"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dimension ref="A6:AH70"/>
  <sheetViews>
    <sheetView showGridLines="0" workbookViewId="0">
      <selection activeCell="D41" sqref="D41"/>
    </sheetView>
  </sheetViews>
  <sheetFormatPr defaultColWidth="10.59765625" defaultRowHeight="13.2" x14ac:dyDescent="0.25"/>
  <cols>
    <col min="1" max="1" width="3.5" style="3" customWidth="1"/>
    <col min="2" max="2" width="11" style="3" customWidth="1"/>
    <col min="3" max="3" width="10.09765625" style="3" customWidth="1"/>
    <col min="4" max="4" width="11.3984375" style="3" customWidth="1"/>
    <col min="5" max="5" width="10.59765625" style="3" customWidth="1"/>
    <col min="6" max="7" width="10.59765625" style="27" customWidth="1"/>
    <col min="8" max="9" width="10.59765625" style="3" customWidth="1"/>
    <col min="10" max="10" width="10.59765625" style="3"/>
    <col min="11" max="34" width="10.59765625" style="27"/>
    <col min="35" max="16384" width="10.59765625" style="3"/>
  </cols>
  <sheetData>
    <row r="6" spans="1:34" ht="16.5" customHeight="1" x14ac:dyDescent="0.4">
      <c r="A6" s="22"/>
      <c r="E6" s="36"/>
      <c r="F6" s="5"/>
    </row>
    <row r="7" spans="1:34" ht="12.75" customHeight="1" x14ac:dyDescent="0.3">
      <c r="B7" s="27"/>
      <c r="D7" s="27"/>
      <c r="E7" s="27"/>
      <c r="G7" s="37"/>
      <c r="I7" s="27"/>
      <c r="J7" s="27"/>
      <c r="Z7" s="3"/>
      <c r="AA7" s="3"/>
      <c r="AB7" s="3"/>
      <c r="AC7" s="3"/>
      <c r="AD7" s="3"/>
      <c r="AE7" s="3"/>
      <c r="AF7" s="3"/>
      <c r="AG7" s="3"/>
      <c r="AH7" s="3"/>
    </row>
    <row r="8" spans="1:34" ht="12.75" customHeight="1" x14ac:dyDescent="0.25">
      <c r="B8" s="27"/>
      <c r="C8" s="28" t="s">
        <v>36</v>
      </c>
      <c r="D8" s="27"/>
      <c r="E8" s="27"/>
      <c r="H8" s="27"/>
      <c r="I8" s="27"/>
      <c r="J8" s="27"/>
      <c r="Z8" s="3"/>
      <c r="AA8" s="3"/>
      <c r="AB8" s="3"/>
      <c r="AC8" s="3"/>
      <c r="AD8" s="3"/>
      <c r="AE8" s="3"/>
      <c r="AF8" s="3"/>
      <c r="AG8" s="3"/>
      <c r="AH8" s="3"/>
    </row>
    <row r="9" spans="1:34" ht="12.75" customHeight="1" x14ac:dyDescent="0.25">
      <c r="B9" s="38"/>
      <c r="C9" s="111">
        <v>8.5</v>
      </c>
      <c r="D9" s="27"/>
      <c r="E9" s="27"/>
      <c r="H9" s="27"/>
      <c r="I9" s="27"/>
      <c r="J9" s="27"/>
      <c r="Z9" s="3"/>
      <c r="AA9" s="3"/>
      <c r="AB9" s="3"/>
      <c r="AC9" s="3"/>
      <c r="AD9" s="3"/>
      <c r="AE9" s="3"/>
      <c r="AF9" s="3"/>
      <c r="AG9" s="3"/>
      <c r="AH9" s="3"/>
    </row>
    <row r="10" spans="1:34" ht="12.75" customHeight="1" x14ac:dyDescent="0.25">
      <c r="B10" s="39"/>
      <c r="C10" s="27"/>
      <c r="D10" s="27"/>
      <c r="H10" s="27" t="s">
        <v>2</v>
      </c>
      <c r="I10" s="27" t="s">
        <v>3</v>
      </c>
      <c r="J10" s="27"/>
      <c r="Z10" s="3"/>
      <c r="AA10" s="3"/>
      <c r="AB10" s="3"/>
      <c r="AC10" s="3"/>
      <c r="AD10" s="3"/>
      <c r="AE10" s="3"/>
      <c r="AF10" s="3"/>
      <c r="AG10" s="3"/>
      <c r="AH10" s="3"/>
    </row>
    <row r="11" spans="1:34" ht="12.75" customHeight="1" x14ac:dyDescent="0.25">
      <c r="B11" s="40" t="s">
        <v>4</v>
      </c>
      <c r="C11" s="27"/>
      <c r="D11" s="27"/>
      <c r="E11" s="28" t="s">
        <v>6</v>
      </c>
      <c r="H11" s="27">
        <v>0</v>
      </c>
      <c r="I11" s="27">
        <v>0</v>
      </c>
      <c r="J11" s="27"/>
      <c r="Z11" s="3"/>
      <c r="AA11" s="3"/>
      <c r="AB11" s="3"/>
      <c r="AC11" s="3"/>
      <c r="AD11" s="3"/>
      <c r="AE11" s="3"/>
      <c r="AF11" s="3"/>
      <c r="AG11" s="3"/>
      <c r="AH11" s="3"/>
    </row>
    <row r="12" spans="1:34" ht="12.75" customHeight="1" x14ac:dyDescent="0.25">
      <c r="B12" s="112">
        <v>29</v>
      </c>
      <c r="C12" s="27"/>
      <c r="D12" s="27"/>
      <c r="E12" s="111">
        <v>16</v>
      </c>
      <c r="H12" s="27">
        <v>0</v>
      </c>
      <c r="I12" s="27">
        <f>B12</f>
        <v>29</v>
      </c>
      <c r="J12" s="27"/>
      <c r="Z12" s="3"/>
      <c r="AA12" s="3"/>
      <c r="AB12" s="3"/>
      <c r="AC12" s="3"/>
      <c r="AD12" s="3"/>
      <c r="AE12" s="3"/>
      <c r="AF12" s="3"/>
      <c r="AG12" s="3"/>
      <c r="AH12" s="3"/>
    </row>
    <row r="13" spans="1:34" x14ac:dyDescent="0.25">
      <c r="B13" s="41"/>
      <c r="C13" s="29"/>
      <c r="D13" s="42"/>
      <c r="E13" s="27"/>
      <c r="H13" s="27">
        <f>C15</f>
        <v>48</v>
      </c>
      <c r="I13" s="27">
        <f>B12-C9</f>
        <v>20.5</v>
      </c>
      <c r="J13" s="27"/>
      <c r="Z13" s="3"/>
      <c r="AA13" s="3"/>
      <c r="AB13" s="3"/>
      <c r="AC13" s="3"/>
      <c r="AD13" s="3"/>
      <c r="AE13" s="3"/>
      <c r="AF13" s="3"/>
      <c r="AG13" s="3"/>
      <c r="AH13" s="3"/>
    </row>
    <row r="14" spans="1:34" x14ac:dyDescent="0.25">
      <c r="B14" s="27"/>
      <c r="C14" s="28" t="s">
        <v>37</v>
      </c>
      <c r="D14" s="27"/>
      <c r="E14" s="27"/>
      <c r="H14" s="27">
        <f>C15</f>
        <v>48</v>
      </c>
      <c r="I14" s="27">
        <f>I13-E12</f>
        <v>4.5</v>
      </c>
      <c r="J14" s="27"/>
      <c r="Z14" s="3"/>
      <c r="AA14" s="3"/>
      <c r="AB14" s="3"/>
      <c r="AC14" s="3"/>
      <c r="AD14" s="3"/>
      <c r="AE14" s="3"/>
      <c r="AF14" s="3"/>
      <c r="AG14" s="3"/>
      <c r="AH14" s="3"/>
    </row>
    <row r="15" spans="1:34" x14ac:dyDescent="0.25">
      <c r="B15" s="27"/>
      <c r="C15" s="111">
        <v>48</v>
      </c>
      <c r="D15" s="27"/>
      <c r="E15" s="27"/>
      <c r="H15" s="27">
        <v>0</v>
      </c>
      <c r="I15" s="27">
        <v>0</v>
      </c>
      <c r="J15" s="27"/>
      <c r="Z15" s="3"/>
      <c r="AA15" s="3"/>
      <c r="AB15" s="3"/>
      <c r="AC15" s="3"/>
      <c r="AD15" s="3"/>
      <c r="AE15" s="3"/>
      <c r="AF15" s="3"/>
      <c r="AG15" s="3"/>
      <c r="AH15" s="3"/>
    </row>
    <row r="16" spans="1:34" x14ac:dyDescent="0.25">
      <c r="B16" s="27"/>
      <c r="C16" s="27"/>
      <c r="D16" s="27"/>
      <c r="E16" s="27"/>
      <c r="H16" s="27"/>
      <c r="I16" s="27"/>
      <c r="J16" s="27"/>
      <c r="Z16" s="3"/>
      <c r="AA16" s="3"/>
      <c r="AB16" s="3"/>
      <c r="AC16" s="3"/>
      <c r="AD16" s="3"/>
      <c r="AE16" s="3"/>
      <c r="AF16" s="3"/>
      <c r="AG16" s="3"/>
      <c r="AH16" s="3"/>
    </row>
    <row r="17" spans="2:34" x14ac:dyDescent="0.25">
      <c r="B17" s="27"/>
      <c r="C17" s="27"/>
      <c r="D17" s="27"/>
      <c r="E17" s="27"/>
      <c r="H17" s="27">
        <v>0</v>
      </c>
      <c r="I17" s="27">
        <f>B12-D27</f>
        <v>19.377777777777776</v>
      </c>
      <c r="J17" s="27"/>
      <c r="Z17" s="3"/>
      <c r="AA17" s="3"/>
      <c r="AB17" s="3"/>
      <c r="AC17" s="3"/>
      <c r="AD17" s="3"/>
      <c r="AE17" s="3"/>
      <c r="AF17" s="3"/>
      <c r="AG17" s="3"/>
      <c r="AH17" s="3"/>
    </row>
    <row r="18" spans="2:34" x14ac:dyDescent="0.25">
      <c r="B18" s="27"/>
      <c r="C18" s="27"/>
      <c r="D18" s="27"/>
      <c r="E18" s="27"/>
      <c r="F18" s="44" t="s">
        <v>109</v>
      </c>
      <c r="H18" s="27"/>
      <c r="I18" s="27"/>
      <c r="J18" s="27"/>
      <c r="Z18" s="3"/>
      <c r="AA18" s="3"/>
      <c r="AB18" s="3"/>
      <c r="AC18" s="3"/>
      <c r="AD18" s="3"/>
      <c r="AE18" s="3"/>
      <c r="AF18" s="3"/>
      <c r="AG18" s="3"/>
      <c r="AH18" s="3"/>
    </row>
    <row r="19" spans="2:34" ht="15.6" x14ac:dyDescent="0.3">
      <c r="B19" s="84" t="s">
        <v>92</v>
      </c>
      <c r="C19"/>
      <c r="D19"/>
      <c r="E19"/>
      <c r="F19" s="44"/>
      <c r="H19" s="27"/>
      <c r="I19" s="27"/>
      <c r="J19" s="27"/>
      <c r="Z19" s="3"/>
      <c r="AA19" s="3"/>
      <c r="AB19" s="3"/>
      <c r="AC19" s="3"/>
      <c r="AD19" s="3"/>
      <c r="AE19" s="3"/>
      <c r="AF19" s="3"/>
      <c r="AG19" s="3"/>
      <c r="AH19" s="3"/>
    </row>
    <row r="20" spans="2:34" x14ac:dyDescent="0.25">
      <c r="B20" s="2" t="s">
        <v>17</v>
      </c>
      <c r="D20" s="23">
        <f>2*C15</f>
        <v>96</v>
      </c>
      <c r="E20" s="2" t="s">
        <v>9</v>
      </c>
      <c r="F20" s="44"/>
      <c r="H20" s="27"/>
      <c r="I20" s="27"/>
      <c r="J20" s="27"/>
      <c r="Z20" s="3"/>
      <c r="AA20" s="3"/>
      <c r="AB20" s="3"/>
      <c r="AC20" s="3"/>
      <c r="AD20" s="3"/>
      <c r="AE20" s="3"/>
      <c r="AF20" s="3"/>
      <c r="AG20" s="3"/>
      <c r="AH20" s="3"/>
    </row>
    <row r="21" spans="2:34" x14ac:dyDescent="0.25">
      <c r="B21" s="2" t="s">
        <v>18</v>
      </c>
      <c r="D21" s="23">
        <f>D20*D22</f>
        <v>2160</v>
      </c>
      <c r="E21" s="2" t="s">
        <v>14</v>
      </c>
      <c r="F21" s="44"/>
      <c r="H21" s="27"/>
      <c r="I21" s="27"/>
      <c r="J21" s="27"/>
      <c r="Z21" s="3"/>
      <c r="AA21" s="3"/>
      <c r="AB21" s="3"/>
      <c r="AC21" s="3"/>
      <c r="AD21" s="3"/>
      <c r="AE21" s="3"/>
      <c r="AF21" s="3"/>
      <c r="AG21" s="3"/>
      <c r="AH21" s="3"/>
    </row>
    <row r="22" spans="2:34" x14ac:dyDescent="0.25">
      <c r="B22" s="2" t="s">
        <v>21</v>
      </c>
      <c r="D22" s="23">
        <f>D26/C15</f>
        <v>22.5</v>
      </c>
      <c r="E22" s="2" t="s">
        <v>9</v>
      </c>
      <c r="F22" s="44"/>
      <c r="H22" s="27"/>
      <c r="I22" s="27"/>
      <c r="J22" s="27"/>
      <c r="Z22" s="3"/>
      <c r="AA22" s="3"/>
      <c r="AB22" s="3"/>
      <c r="AC22" s="3"/>
      <c r="AD22" s="3"/>
      <c r="AE22" s="3"/>
      <c r="AF22" s="3"/>
      <c r="AG22" s="3"/>
      <c r="AH22" s="3"/>
    </row>
    <row r="23" spans="2:34" x14ac:dyDescent="0.25">
      <c r="B23" s="20" t="s">
        <v>52</v>
      </c>
      <c r="D23" s="21">
        <f>D20/D22</f>
        <v>4.2666666666666666</v>
      </c>
      <c r="E23" s="104"/>
      <c r="F23" s="44"/>
      <c r="H23" s="27"/>
      <c r="I23" s="27"/>
      <c r="J23" s="27"/>
      <c r="Z23" s="3"/>
      <c r="AA23" s="3"/>
      <c r="AB23" s="3"/>
      <c r="AC23" s="3"/>
      <c r="AD23" s="3"/>
      <c r="AE23" s="3"/>
      <c r="AF23" s="3"/>
      <c r="AG23" s="3"/>
      <c r="AH23" s="3"/>
    </row>
    <row r="24" spans="2:34" x14ac:dyDescent="0.25">
      <c r="B24" s="20"/>
      <c r="D24" s="21"/>
      <c r="E24" s="19"/>
      <c r="F24" s="44"/>
      <c r="H24" s="27"/>
      <c r="I24" s="27"/>
      <c r="J24" s="27"/>
      <c r="Z24" s="3"/>
      <c r="AA24" s="3"/>
      <c r="AB24" s="3"/>
      <c r="AC24" s="3"/>
      <c r="AD24" s="3"/>
      <c r="AE24" s="3"/>
      <c r="AF24" s="3"/>
      <c r="AG24" s="3"/>
      <c r="AH24" s="3"/>
    </row>
    <row r="25" spans="2:34" x14ac:dyDescent="0.25">
      <c r="B25" s="46" t="s">
        <v>93</v>
      </c>
      <c r="F25" s="44"/>
      <c r="H25" s="27"/>
      <c r="I25" s="27"/>
      <c r="J25" s="27"/>
      <c r="Z25" s="3"/>
      <c r="AA25" s="3"/>
      <c r="AB25" s="3"/>
      <c r="AC25" s="3"/>
      <c r="AD25" s="3"/>
      <c r="AE25" s="3"/>
      <c r="AF25" s="3"/>
      <c r="AG25" s="3"/>
      <c r="AH25" s="3"/>
    </row>
    <row r="26" spans="2:34" x14ac:dyDescent="0.25">
      <c r="B26" s="2" t="s">
        <v>13</v>
      </c>
      <c r="D26" s="23">
        <f>C15*(B12+E12)/2</f>
        <v>1080</v>
      </c>
      <c r="E26" s="3" t="s">
        <v>14</v>
      </c>
      <c r="F26" s="44"/>
      <c r="H26" s="27"/>
      <c r="I26" s="27"/>
      <c r="J26" s="27"/>
      <c r="Z26" s="3"/>
      <c r="AA26" s="3"/>
      <c r="AB26" s="3"/>
      <c r="AC26" s="3"/>
      <c r="AD26" s="3"/>
      <c r="AE26" s="3"/>
      <c r="AF26" s="3"/>
      <c r="AG26" s="3"/>
      <c r="AH26" s="3"/>
    </row>
    <row r="27" spans="2:34" x14ac:dyDescent="0.25">
      <c r="B27" s="2" t="s">
        <v>16</v>
      </c>
      <c r="D27" s="23">
        <f>C9*(B12+2*E12)/3/(B12+E12)+(B12+E12-B12*E12/(B12+E12))/6</f>
        <v>9.6222222222222236</v>
      </c>
      <c r="E27" s="3" t="s">
        <v>9</v>
      </c>
      <c r="F27" s="44"/>
      <c r="H27" s="27"/>
      <c r="I27" s="27"/>
      <c r="J27" s="27"/>
      <c r="Z27" s="3"/>
      <c r="AA27" s="3"/>
      <c r="AB27" s="3"/>
      <c r="AC27" s="3"/>
      <c r="AD27" s="3"/>
      <c r="AE27" s="3"/>
      <c r="AF27" s="3"/>
      <c r="AG27" s="3"/>
      <c r="AH27" s="3"/>
    </row>
    <row r="28" spans="2:34" x14ac:dyDescent="0.25">
      <c r="B28" s="2" t="s">
        <v>22</v>
      </c>
      <c r="D28" s="23">
        <f>D26*D27/D21*2-D22*0.25</f>
        <v>3.9972222222222236</v>
      </c>
      <c r="E28" s="3" t="s">
        <v>9</v>
      </c>
      <c r="F28" s="44"/>
      <c r="H28" s="27"/>
      <c r="I28" s="27"/>
      <c r="J28" s="27"/>
      <c r="Z28" s="3"/>
      <c r="AA28" s="3"/>
      <c r="AB28" s="3"/>
      <c r="AC28" s="3"/>
      <c r="AD28" s="3"/>
      <c r="AE28" s="3"/>
      <c r="AF28" s="3"/>
      <c r="AG28" s="3"/>
      <c r="AH28" s="3"/>
    </row>
    <row r="29" spans="2:34" x14ac:dyDescent="0.25">
      <c r="B29" s="3" t="s">
        <v>23</v>
      </c>
      <c r="D29" s="23">
        <f>D28+D22*0.25</f>
        <v>9.6222222222222236</v>
      </c>
      <c r="E29" s="3" t="s">
        <v>9</v>
      </c>
      <c r="F29" s="44"/>
      <c r="H29" s="27"/>
      <c r="I29" s="27"/>
      <c r="J29" s="27"/>
      <c r="Z29" s="3"/>
      <c r="AA29" s="3"/>
      <c r="AB29" s="3"/>
      <c r="AC29" s="3"/>
      <c r="AD29" s="3"/>
      <c r="AE29" s="3"/>
      <c r="AF29" s="3"/>
      <c r="AG29" s="3"/>
      <c r="AH29" s="3"/>
    </row>
    <row r="30" spans="2:34" x14ac:dyDescent="0.25">
      <c r="D30" s="23"/>
      <c r="F30" s="44"/>
      <c r="H30" s="27"/>
      <c r="I30" s="27"/>
      <c r="J30" s="27"/>
      <c r="Z30" s="3"/>
      <c r="AA30" s="3"/>
      <c r="AB30" s="3"/>
      <c r="AC30" s="3"/>
      <c r="AD30" s="3"/>
      <c r="AE30" s="3"/>
      <c r="AF30" s="3"/>
      <c r="AG30" s="3"/>
      <c r="AH30" s="3"/>
    </row>
    <row r="31" spans="2:34" ht="13.8" x14ac:dyDescent="0.3">
      <c r="G31" s="18"/>
      <c r="H31" s="45"/>
      <c r="I31" s="17"/>
      <c r="J31" s="2"/>
    </row>
    <row r="32" spans="2:34" ht="13.8" x14ac:dyDescent="0.3">
      <c r="G32" s="18"/>
      <c r="H32" s="45"/>
      <c r="I32" s="17"/>
      <c r="J32" s="2"/>
    </row>
    <row r="33" spans="1:10" ht="13.8" x14ac:dyDescent="0.3">
      <c r="G33" s="18"/>
      <c r="H33" s="45"/>
      <c r="I33" s="17"/>
      <c r="J33" s="2"/>
    </row>
    <row r="34" spans="1:10" s="6" customFormat="1" x14ac:dyDescent="0.3"/>
    <row r="35" spans="1:10" s="6" customFormat="1" ht="15" customHeight="1" x14ac:dyDescent="0.4">
      <c r="D35" s="36"/>
    </row>
    <row r="36" spans="1:10" s="6" customFormat="1" ht="15" customHeight="1" x14ac:dyDescent="0.3">
      <c r="A36" s="3"/>
      <c r="B36" s="3"/>
      <c r="C36" s="28" t="s">
        <v>42</v>
      </c>
      <c r="D36" s="3"/>
      <c r="E36" s="3"/>
      <c r="F36" s="3"/>
    </row>
    <row r="37" spans="1:10" s="6" customFormat="1" ht="15" customHeight="1" x14ac:dyDescent="0.3">
      <c r="A37" s="3"/>
      <c r="B37" s="3"/>
      <c r="C37" s="111">
        <v>16</v>
      </c>
      <c r="D37" s="3"/>
      <c r="E37" s="3"/>
      <c r="F37" s="3"/>
      <c r="G37" s="7"/>
      <c r="H37" s="7"/>
    </row>
    <row r="38" spans="1:10" s="6" customFormat="1" ht="15" customHeight="1" x14ac:dyDescent="0.3">
      <c r="A38" s="3"/>
      <c r="B38" s="3"/>
      <c r="C38" s="3"/>
      <c r="D38" s="3"/>
      <c r="E38" s="3"/>
      <c r="F38" s="7" t="s">
        <v>3</v>
      </c>
      <c r="G38" s="7" t="s">
        <v>2</v>
      </c>
      <c r="H38" s="7"/>
    </row>
    <row r="39" spans="1:10" s="6" customFormat="1" ht="15" customHeight="1" x14ac:dyDescent="0.3">
      <c r="A39" s="3"/>
      <c r="B39" s="3"/>
      <c r="C39" s="3"/>
      <c r="D39" s="3"/>
      <c r="E39" s="3"/>
      <c r="F39" s="7">
        <v>0</v>
      </c>
      <c r="G39" s="7">
        <v>0</v>
      </c>
      <c r="H39" s="7"/>
    </row>
    <row r="40" spans="1:10" s="6" customFormat="1" ht="15" customHeight="1" x14ac:dyDescent="0.35">
      <c r="A40" s="3"/>
      <c r="B40" s="28" t="s">
        <v>1</v>
      </c>
      <c r="C40" s="3"/>
      <c r="D40" s="28" t="s">
        <v>39</v>
      </c>
      <c r="E40" s="28"/>
      <c r="F40" s="9">
        <f>B41</f>
        <v>3</v>
      </c>
      <c r="G40" s="9">
        <f>D41</f>
        <v>31</v>
      </c>
      <c r="H40" s="11"/>
    </row>
    <row r="41" spans="1:10" s="6" customFormat="1" ht="15" customHeight="1" x14ac:dyDescent="0.35">
      <c r="A41" s="3"/>
      <c r="B41" s="111">
        <v>3</v>
      </c>
      <c r="C41" s="3"/>
      <c r="D41" s="111">
        <v>31</v>
      </c>
      <c r="E41" s="27"/>
      <c r="F41" s="12">
        <f>F40+C37</f>
        <v>19</v>
      </c>
      <c r="G41" s="9">
        <f>D41</f>
        <v>31</v>
      </c>
      <c r="H41" s="11"/>
    </row>
    <row r="42" spans="1:10" s="6" customFormat="1" ht="15" customHeight="1" x14ac:dyDescent="0.35">
      <c r="A42" s="3"/>
      <c r="B42" s="3"/>
      <c r="C42" s="28" t="s">
        <v>38</v>
      </c>
      <c r="D42" s="3"/>
      <c r="E42" s="3"/>
      <c r="F42" s="12">
        <f>C43</f>
        <v>27</v>
      </c>
      <c r="G42" s="9">
        <v>0</v>
      </c>
      <c r="H42" s="11"/>
    </row>
    <row r="43" spans="1:10" s="6" customFormat="1" ht="15" customHeight="1" x14ac:dyDescent="0.35">
      <c r="A43" s="3"/>
      <c r="B43" s="3"/>
      <c r="C43" s="111">
        <v>27</v>
      </c>
      <c r="D43" s="3"/>
      <c r="E43" s="3"/>
      <c r="F43" s="13">
        <v>0</v>
      </c>
      <c r="G43" s="13">
        <v>0</v>
      </c>
      <c r="H43" s="11"/>
    </row>
    <row r="44" spans="1:10" s="6" customFormat="1" ht="15" customHeight="1" x14ac:dyDescent="0.3">
      <c r="A44" s="3"/>
      <c r="B44" s="3"/>
      <c r="C44" s="3"/>
      <c r="D44" s="3"/>
      <c r="E44" s="3"/>
      <c r="F44" s="12">
        <f>B46</f>
        <v>0</v>
      </c>
      <c r="G44" s="9">
        <f>-D46</f>
        <v>-3.5</v>
      </c>
      <c r="H44" s="7"/>
    </row>
    <row r="45" spans="1:10" s="6" customFormat="1" ht="15" customHeight="1" x14ac:dyDescent="0.3">
      <c r="A45" s="3"/>
      <c r="B45" s="28" t="s">
        <v>1</v>
      </c>
      <c r="C45" s="3"/>
      <c r="D45" s="28" t="s">
        <v>40</v>
      </c>
      <c r="E45" s="28"/>
      <c r="F45" s="12">
        <f>F44+C51</f>
        <v>28</v>
      </c>
      <c r="G45" s="8">
        <f>-D46</f>
        <v>-3.5</v>
      </c>
      <c r="H45" s="7"/>
    </row>
    <row r="46" spans="1:10" s="6" customFormat="1" ht="15" customHeight="1" x14ac:dyDescent="0.3">
      <c r="A46" s="3"/>
      <c r="B46" s="111">
        <v>0</v>
      </c>
      <c r="C46" s="3"/>
      <c r="D46" s="111">
        <v>3.5</v>
      </c>
      <c r="E46" s="27"/>
      <c r="F46" s="9">
        <f>C43</f>
        <v>27</v>
      </c>
      <c r="G46" s="10">
        <v>0</v>
      </c>
      <c r="H46" s="7"/>
    </row>
    <row r="47" spans="1:10" s="6" customFormat="1" ht="15" customHeight="1" x14ac:dyDescent="0.3">
      <c r="A47" s="3"/>
      <c r="B47" s="3"/>
      <c r="C47" s="3"/>
      <c r="D47" s="3"/>
      <c r="E47" s="3"/>
      <c r="F47" s="10">
        <v>0</v>
      </c>
      <c r="G47" s="10">
        <v>0</v>
      </c>
      <c r="H47" s="7"/>
    </row>
    <row r="48" spans="1:10" s="6" customFormat="1" ht="15" customHeight="1" x14ac:dyDescent="0.3">
      <c r="A48" s="3"/>
      <c r="B48" s="3"/>
      <c r="C48" s="3"/>
      <c r="D48" s="3"/>
      <c r="E48" s="3"/>
      <c r="F48" s="7"/>
      <c r="G48" s="7"/>
      <c r="H48" s="7"/>
    </row>
    <row r="49" spans="1:9" s="6" customFormat="1" ht="15" customHeight="1" x14ac:dyDescent="0.3">
      <c r="A49" s="3"/>
      <c r="B49" s="3"/>
      <c r="C49" s="3"/>
      <c r="D49" s="3"/>
      <c r="E49" s="3"/>
      <c r="F49" s="8">
        <f>D60</f>
        <v>6.8657817109144545</v>
      </c>
      <c r="G49" s="7">
        <v>0</v>
      </c>
      <c r="H49" s="7"/>
    </row>
    <row r="50" spans="1:9" s="6" customFormat="1" ht="15" customHeight="1" x14ac:dyDescent="0.3">
      <c r="A50" s="3"/>
      <c r="B50" s="3"/>
      <c r="C50" s="28" t="s">
        <v>41</v>
      </c>
      <c r="D50" s="3"/>
      <c r="E50" s="3"/>
    </row>
    <row r="51" spans="1:9" s="6" customFormat="1" ht="15" customHeight="1" x14ac:dyDescent="0.3">
      <c r="A51" s="3"/>
      <c r="B51" s="3"/>
      <c r="C51" s="111">
        <v>28</v>
      </c>
      <c r="D51" s="3"/>
      <c r="E51" s="3"/>
    </row>
    <row r="52" spans="1:9" s="6" customFormat="1" ht="19.5" customHeight="1" x14ac:dyDescent="0.3">
      <c r="A52" s="3"/>
      <c r="B52" s="3"/>
      <c r="C52" s="3"/>
      <c r="D52" s="3"/>
      <c r="E52" s="3"/>
    </row>
    <row r="53" spans="1:9" s="6" customFormat="1" ht="19.5" customHeight="1" x14ac:dyDescent="0.3">
      <c r="F53" s="47" t="s">
        <v>110</v>
      </c>
    </row>
    <row r="54" spans="1:9" s="6" customFormat="1" ht="15" customHeight="1" x14ac:dyDescent="0.3"/>
    <row r="55" spans="1:9" s="6" customFormat="1" ht="15" customHeight="1" x14ac:dyDescent="0.3">
      <c r="B55" s="132" t="s">
        <v>94</v>
      </c>
      <c r="C55" s="133"/>
      <c r="D55" s="133"/>
      <c r="E55" s="3"/>
      <c r="I55" s="48"/>
    </row>
    <row r="56" spans="1:9" s="6" customFormat="1" ht="15" customHeight="1" x14ac:dyDescent="0.3">
      <c r="B56" s="2" t="s">
        <v>17</v>
      </c>
      <c r="C56" s="3"/>
      <c r="D56" s="24">
        <f>D46+D41</f>
        <v>34.5</v>
      </c>
      <c r="E56" s="2" t="s">
        <v>9</v>
      </c>
    </row>
    <row r="57" spans="1:9" s="6" customFormat="1" ht="15" customHeight="1" x14ac:dyDescent="0.3">
      <c r="B57" s="2" t="s">
        <v>18</v>
      </c>
      <c r="C57" s="3"/>
      <c r="D57" s="24">
        <f>D56*D58</f>
        <v>762.75</v>
      </c>
      <c r="E57" s="2" t="s">
        <v>14</v>
      </c>
      <c r="F57" s="15"/>
      <c r="G57" s="15"/>
      <c r="H57" s="15"/>
      <c r="I57" s="15"/>
    </row>
    <row r="58" spans="1:9" s="6" customFormat="1" ht="15" customHeight="1" x14ac:dyDescent="0.3">
      <c r="B58" s="2" t="s">
        <v>21</v>
      </c>
      <c r="C58" s="3"/>
      <c r="D58" s="24">
        <f>(D63+H63)/(D46+D41)</f>
        <v>22.108695652173914</v>
      </c>
      <c r="E58" s="2" t="s">
        <v>9</v>
      </c>
    </row>
    <row r="59" spans="1:9" s="6" customFormat="1" ht="15" customHeight="1" x14ac:dyDescent="0.3">
      <c r="B59" s="2" t="s">
        <v>22</v>
      </c>
      <c r="C59" s="3"/>
      <c r="D59" s="24">
        <f>(D63*D64+H63*H64)/D57-D58*0.25</f>
        <v>1.3386077978709761</v>
      </c>
      <c r="E59" s="2" t="s">
        <v>9</v>
      </c>
    </row>
    <row r="60" spans="1:9" s="6" customFormat="1" ht="15" customHeight="1" x14ac:dyDescent="0.3">
      <c r="B60" s="2" t="s">
        <v>23</v>
      </c>
      <c r="C60" s="2"/>
      <c r="D60" s="24">
        <f>D59+D58*0.25</f>
        <v>6.8657817109144545</v>
      </c>
      <c r="E60" s="2" t="s">
        <v>9</v>
      </c>
    </row>
    <row r="61" spans="1:9" s="6" customFormat="1" ht="15" customHeight="1" x14ac:dyDescent="0.3">
      <c r="B61" s="2"/>
      <c r="C61" s="3"/>
      <c r="D61" s="14"/>
      <c r="E61" s="2"/>
    </row>
    <row r="62" spans="1:9" s="6" customFormat="1" ht="15" customHeight="1" x14ac:dyDescent="0.3">
      <c r="C62" s="134" t="s">
        <v>44</v>
      </c>
      <c r="D62" s="135"/>
      <c r="E62" s="135"/>
      <c r="F62" s="128" t="s">
        <v>43</v>
      </c>
      <c r="G62" s="136"/>
      <c r="H62" s="136"/>
    </row>
    <row r="63" spans="1:9" s="6" customFormat="1" ht="15" customHeight="1" x14ac:dyDescent="0.3">
      <c r="B63" s="2" t="s">
        <v>13</v>
      </c>
      <c r="C63" s="3"/>
      <c r="D63" s="25">
        <f>D46*(C51+C43)/2</f>
        <v>96.25</v>
      </c>
      <c r="E63" s="3" t="s">
        <v>14</v>
      </c>
      <c r="F63" s="2" t="s">
        <v>15</v>
      </c>
      <c r="G63" s="2"/>
      <c r="H63" s="23">
        <f>D41*(C43+C37)/2</f>
        <v>666.5</v>
      </c>
      <c r="I63" s="3" t="s">
        <v>14</v>
      </c>
    </row>
    <row r="64" spans="1:9" s="6" customFormat="1" ht="15" customHeight="1" x14ac:dyDescent="0.3">
      <c r="B64" s="2" t="s">
        <v>16</v>
      </c>
      <c r="C64" s="3"/>
      <c r="D64" s="24">
        <f>B46*(C43+2*C51)/3/(C43+C51)+(C43+C51-C43*C51/(C43+C51))/6</f>
        <v>6.8757575757575751</v>
      </c>
      <c r="E64" s="3" t="s">
        <v>9</v>
      </c>
      <c r="F64" s="2" t="s">
        <v>16</v>
      </c>
      <c r="G64" s="2"/>
      <c r="H64" s="23">
        <f>B41*(C43+2*C37)/3/(C43+C37)+(C43+C37-C43*C37/(C43+C37))/6</f>
        <v>6.8643410852713167</v>
      </c>
      <c r="I64" s="3" t="s">
        <v>9</v>
      </c>
    </row>
    <row r="65" spans="11:15" s="6" customFormat="1" ht="15" customHeight="1" x14ac:dyDescent="0.3"/>
    <row r="66" spans="11:15" s="6" customFormat="1" ht="15" customHeight="1" x14ac:dyDescent="0.3"/>
    <row r="67" spans="11:15" s="6" customFormat="1" ht="15" customHeight="1" x14ac:dyDescent="0.3"/>
    <row r="68" spans="11:15" s="6" customFormat="1" ht="15" customHeight="1" x14ac:dyDescent="0.3"/>
    <row r="69" spans="11:15" s="6" customFormat="1" ht="15" customHeight="1" x14ac:dyDescent="0.3"/>
    <row r="70" spans="11:15" s="6" customFormat="1" ht="15" customHeight="1" x14ac:dyDescent="0.3">
      <c r="K70" s="27"/>
      <c r="L70" s="27"/>
      <c r="M70" s="27"/>
      <c r="N70" s="27"/>
      <c r="O70" s="27"/>
    </row>
  </sheetData>
  <sheetProtection sheet="1" objects="1" scenarios="1"/>
  <mergeCells count="3">
    <mergeCell ref="B55:D55"/>
    <mergeCell ref="C62:E62"/>
    <mergeCell ref="F62:H62"/>
  </mergeCells>
  <phoneticPr fontId="0" type="noConversion"/>
  <printOptions horizontalCentered="1"/>
  <pageMargins left="0.75" right="0.75" top="1" bottom="1" header="0.5" footer="0.5"/>
  <pageSetup orientation="portrait"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0" transitionEvaluation="1">
    <pageSetUpPr fitToPage="1"/>
  </sheetPr>
  <dimension ref="A14:O51"/>
  <sheetViews>
    <sheetView showGridLines="0" tabSelected="1" topLeftCell="A10" zoomScale="85" workbookViewId="0">
      <selection activeCell="F45" sqref="F45"/>
    </sheetView>
  </sheetViews>
  <sheetFormatPr defaultColWidth="10.59765625" defaultRowHeight="13.2" x14ac:dyDescent="0.25"/>
  <cols>
    <col min="1" max="1" width="6.19921875" style="3" customWidth="1"/>
    <col min="2" max="2" width="20" style="3" customWidth="1"/>
    <col min="3" max="3" width="15.09765625" style="3" customWidth="1"/>
    <col min="4" max="4" width="15" style="3" bestFit="1" customWidth="1"/>
    <col min="5" max="5" width="6.59765625" style="3" bestFit="1" customWidth="1"/>
    <col min="6" max="6" width="22.3984375" style="3" bestFit="1" customWidth="1"/>
    <col min="7" max="7" width="8.3984375" style="3" customWidth="1"/>
    <col min="8" max="8" width="22.3984375" style="3" bestFit="1" customWidth="1"/>
    <col min="9" max="9" width="17.09765625" style="3" customWidth="1"/>
    <col min="10" max="10" width="15.69921875" style="3" customWidth="1"/>
    <col min="11" max="11" width="16.59765625" style="3" bestFit="1" customWidth="1"/>
    <col min="12" max="12" width="11.69921875" style="3" customWidth="1"/>
    <col min="13" max="13" width="16.19921875" style="3" bestFit="1" customWidth="1"/>
    <col min="14" max="14" width="5.59765625" style="3" customWidth="1"/>
    <col min="15" max="15" width="5.69921875" style="3" customWidth="1"/>
    <col min="16" max="16" width="6.69921875" style="3" customWidth="1"/>
    <col min="17" max="17" width="10.59765625" style="3"/>
    <col min="18" max="18" width="20.19921875" style="3" customWidth="1"/>
    <col min="19" max="19" width="3.59765625" style="3" customWidth="1"/>
    <col min="20" max="20" width="9.19921875" style="3" bestFit="1" customWidth="1"/>
    <col min="21" max="21" width="13.69921875" style="3" bestFit="1" customWidth="1"/>
    <col min="22" max="16384" width="10.59765625" style="3"/>
  </cols>
  <sheetData>
    <row r="14" spans="1:7" ht="12.75" customHeight="1" x14ac:dyDescent="0.3">
      <c r="A14" s="16"/>
    </row>
    <row r="15" spans="1:7" ht="12.75" customHeight="1" x14ac:dyDescent="0.3">
      <c r="A15" s="16"/>
    </row>
    <row r="16" spans="1:7" ht="12.75" customHeight="1" x14ac:dyDescent="0.3">
      <c r="A16" s="16"/>
      <c r="B16" s="27" t="s">
        <v>2</v>
      </c>
      <c r="C16" s="27" t="s">
        <v>3</v>
      </c>
      <c r="D16" s="27" t="s">
        <v>2</v>
      </c>
      <c r="E16" s="27" t="s">
        <v>3</v>
      </c>
      <c r="F16" s="27" t="s">
        <v>2</v>
      </c>
      <c r="G16" s="27" t="s">
        <v>3</v>
      </c>
    </row>
    <row r="17" spans="1:8" ht="12.75" customHeight="1" x14ac:dyDescent="0.3">
      <c r="A17" s="16"/>
      <c r="B17" s="27">
        <f>Wing!J9</f>
        <v>0</v>
      </c>
      <c r="C17" s="27">
        <f>Wing!K9</f>
        <v>0</v>
      </c>
      <c r="D17" s="27">
        <f>Wing!L9</f>
        <v>191</v>
      </c>
      <c r="E17" s="27">
        <f>Wing!M9</f>
        <v>41</v>
      </c>
      <c r="F17" s="27">
        <f>Wing!N9</f>
        <v>191</v>
      </c>
      <c r="G17" s="27">
        <f>Wing!O9</f>
        <v>41</v>
      </c>
    </row>
    <row r="18" spans="1:8" ht="12.75" customHeight="1" x14ac:dyDescent="0.3">
      <c r="A18" s="16"/>
      <c r="B18" s="27">
        <f>Wing!J10</f>
        <v>0</v>
      </c>
      <c r="C18" s="27">
        <f>Wing!K10</f>
        <v>50</v>
      </c>
      <c r="D18" s="27">
        <f>Wing!L10</f>
        <v>191</v>
      </c>
      <c r="E18" s="27">
        <f>Wing!M10</f>
        <v>41</v>
      </c>
      <c r="F18" s="27">
        <f>Wing!N10</f>
        <v>191</v>
      </c>
      <c r="G18" s="27">
        <f>Wing!O10</f>
        <v>41</v>
      </c>
    </row>
    <row r="19" spans="1:8" ht="12.75" customHeight="1" x14ac:dyDescent="0.3">
      <c r="A19" s="16"/>
      <c r="B19" s="27">
        <f>Wing!J11</f>
        <v>191</v>
      </c>
      <c r="C19" s="27">
        <f>Wing!K11</f>
        <v>41</v>
      </c>
      <c r="D19" s="27">
        <f>Wing!L11</f>
        <v>191</v>
      </c>
      <c r="E19" s="27">
        <f>Wing!M11</f>
        <v>41</v>
      </c>
      <c r="F19" s="27">
        <f>Wing!N11</f>
        <v>191</v>
      </c>
      <c r="G19" s="27">
        <f>Wing!O11</f>
        <v>41</v>
      </c>
    </row>
    <row r="20" spans="1:8" ht="12.75" customHeight="1" x14ac:dyDescent="0.3">
      <c r="A20" s="16"/>
      <c r="B20" s="27">
        <f>Wing!J12</f>
        <v>191</v>
      </c>
      <c r="C20" s="27">
        <f>Wing!K12</f>
        <v>21</v>
      </c>
      <c r="D20" s="27">
        <f>Wing!L12</f>
        <v>191</v>
      </c>
      <c r="E20" s="27">
        <f>Wing!M12</f>
        <v>21</v>
      </c>
      <c r="F20" s="27">
        <f>Wing!N12</f>
        <v>191</v>
      </c>
      <c r="G20" s="27">
        <f>Wing!O12</f>
        <v>41</v>
      </c>
    </row>
    <row r="21" spans="1:8" ht="12.75" customHeight="1" x14ac:dyDescent="0.3">
      <c r="A21" s="16"/>
      <c r="B21" s="27">
        <f>Wing!J13</f>
        <v>0</v>
      </c>
      <c r="C21" s="27">
        <f>Wing!K13</f>
        <v>0</v>
      </c>
      <c r="D21" s="27"/>
      <c r="E21" s="27"/>
      <c r="F21" s="27"/>
      <c r="G21" s="27"/>
    </row>
    <row r="22" spans="1:8" ht="12.75" customHeight="1" x14ac:dyDescent="0.3">
      <c r="A22" s="16"/>
      <c r="B22" s="27"/>
      <c r="C22" s="27"/>
      <c r="D22" s="27"/>
      <c r="E22" s="27"/>
      <c r="F22" s="27"/>
      <c r="G22" s="27"/>
    </row>
    <row r="23" spans="1:8" ht="12.75" customHeight="1" x14ac:dyDescent="0.3">
      <c r="A23" s="16"/>
      <c r="B23" s="28">
        <v>0</v>
      </c>
      <c r="C23" s="28">
        <f>Wing!B14-D36</f>
        <v>-60</v>
      </c>
      <c r="D23" s="27"/>
      <c r="E23" s="27"/>
      <c r="F23" s="27"/>
      <c r="G23" s="27"/>
    </row>
    <row r="24" spans="1:8" ht="12.75" customHeight="1" x14ac:dyDescent="0.3">
      <c r="A24" s="16"/>
      <c r="B24" s="96">
        <v>0</v>
      </c>
      <c r="C24" s="95">
        <f>C47</f>
        <v>34.557451928583419</v>
      </c>
      <c r="D24" s="27"/>
      <c r="E24" s="27"/>
      <c r="F24" s="27"/>
      <c r="G24" s="27"/>
    </row>
    <row r="25" spans="1:8" ht="12.75" customHeight="1" x14ac:dyDescent="0.3">
      <c r="A25" s="16"/>
    </row>
    <row r="26" spans="1:8" ht="12.75" customHeight="1" x14ac:dyDescent="0.3">
      <c r="A26" s="16"/>
    </row>
    <row r="27" spans="1:8" ht="12.75" customHeight="1" x14ac:dyDescent="0.3">
      <c r="A27" s="16"/>
    </row>
    <row r="28" spans="1:8" ht="17.399999999999999" x14ac:dyDescent="0.3">
      <c r="A28" s="16"/>
    </row>
    <row r="29" spans="1:8" ht="15.75" customHeight="1" x14ac:dyDescent="0.3">
      <c r="A29" s="16"/>
      <c r="B29" s="31" t="s">
        <v>130</v>
      </c>
    </row>
    <row r="30" spans="1:8" ht="12.75" customHeight="1" x14ac:dyDescent="0.3">
      <c r="A30" s="16"/>
      <c r="B30" s="31" t="s">
        <v>131</v>
      </c>
    </row>
    <row r="31" spans="1:8" ht="12.75" customHeight="1" x14ac:dyDescent="0.3">
      <c r="B31" s="16"/>
    </row>
    <row r="32" spans="1:8" ht="12.75" customHeight="1" x14ac:dyDescent="0.25">
      <c r="B32" s="101" t="s">
        <v>121</v>
      </c>
      <c r="C32" s="110">
        <v>0.6</v>
      </c>
      <c r="G32" s="2"/>
      <c r="H32" s="82"/>
    </row>
    <row r="33" spans="1:15" ht="12.75" customHeight="1" x14ac:dyDescent="0.25">
      <c r="B33" s="27"/>
      <c r="C33" s="47" t="s">
        <v>122</v>
      </c>
      <c r="D33" s="47" t="s">
        <v>123</v>
      </c>
      <c r="E33" s="47" t="s">
        <v>10</v>
      </c>
      <c r="G33" s="27"/>
      <c r="H33" s="47"/>
      <c r="I33" s="47"/>
      <c r="J33" s="47"/>
    </row>
    <row r="34" spans="1:15" ht="12.75" customHeight="1" x14ac:dyDescent="0.25">
      <c r="B34" s="2" t="s">
        <v>117</v>
      </c>
      <c r="C34" s="33">
        <f>C45-E34</f>
        <v>0</v>
      </c>
      <c r="D34" s="82">
        <f>Wing!C50+Wing!C48*E34/100</f>
        <v>15.442548071416583</v>
      </c>
      <c r="E34" s="33">
        <f>C45</f>
        <v>31.570545510169822</v>
      </c>
      <c r="G34" s="2"/>
      <c r="H34" s="82"/>
      <c r="I34" s="33"/>
      <c r="J34" s="82"/>
      <c r="K34" s="90"/>
      <c r="N34" s="24"/>
      <c r="O34" s="100"/>
    </row>
    <row r="35" spans="1:15" s="27" customFormat="1" ht="12.75" customHeight="1" x14ac:dyDescent="0.25">
      <c r="B35" s="101" t="s">
        <v>158</v>
      </c>
      <c r="C35" s="114">
        <v>10</v>
      </c>
      <c r="D35" s="82">
        <f>Wing!C50+Wing!C48*E35/100</f>
        <v>11.942548071416585</v>
      </c>
      <c r="E35" s="33">
        <f>C45-C35</f>
        <v>21.570545510169822</v>
      </c>
      <c r="G35" s="2"/>
      <c r="H35" s="24"/>
      <c r="I35" s="3"/>
      <c r="J35" s="3"/>
      <c r="K35" s="3"/>
      <c r="L35" s="3"/>
      <c r="M35" s="3"/>
    </row>
    <row r="36" spans="1:15" ht="12.75" customHeight="1" x14ac:dyDescent="0.25">
      <c r="B36" s="101" t="s">
        <v>124</v>
      </c>
      <c r="C36" s="33">
        <f>(C45-E36)</f>
        <v>-270.16414836738124</v>
      </c>
      <c r="D36" s="113">
        <v>110</v>
      </c>
      <c r="E36" s="33">
        <f>(D36-Wing!C50)/Wing!C48*100</f>
        <v>301.73469387755108</v>
      </c>
      <c r="G36" s="2"/>
      <c r="H36" s="105"/>
      <c r="I36" s="33"/>
      <c r="J36" s="82"/>
      <c r="K36" s="27"/>
      <c r="L36" s="90"/>
      <c r="M36" s="97"/>
      <c r="N36" s="24"/>
      <c r="O36" s="23"/>
    </row>
    <row r="37" spans="1:15" s="27" customFormat="1" ht="12.75" customHeight="1" x14ac:dyDescent="0.25">
      <c r="B37" s="101" t="s">
        <v>120</v>
      </c>
      <c r="C37" s="33">
        <f>(C45-E37)</f>
        <v>6.570545510169822</v>
      </c>
      <c r="D37" s="82">
        <f>Wing!C50+Wing!C48*E37/100</f>
        <v>13.142857142857146</v>
      </c>
      <c r="E37" s="111">
        <v>25</v>
      </c>
      <c r="F37" s="24"/>
      <c r="G37" s="2"/>
      <c r="H37" s="105"/>
      <c r="J37" s="82"/>
      <c r="L37" s="24"/>
      <c r="M37" s="2"/>
      <c r="N37" s="24"/>
      <c r="O37" s="3"/>
    </row>
    <row r="38" spans="1:15" x14ac:dyDescent="0.25">
      <c r="A38" s="2"/>
      <c r="C38" s="23"/>
      <c r="E38" s="2"/>
      <c r="F38" s="2"/>
      <c r="H38" s="105"/>
      <c r="J38" s="2"/>
      <c r="L38" s="24"/>
    </row>
    <row r="39" spans="1:15" x14ac:dyDescent="0.25">
      <c r="A39" s="72" t="s">
        <v>57</v>
      </c>
      <c r="B39" s="27"/>
      <c r="C39" s="27"/>
      <c r="D39" s="27"/>
      <c r="E39" s="27"/>
      <c r="F39" s="27"/>
      <c r="G39" s="27"/>
      <c r="H39" s="27"/>
      <c r="I39" s="27"/>
      <c r="J39" s="27"/>
      <c r="K39" s="27"/>
    </row>
    <row r="40" spans="1:15" x14ac:dyDescent="0.25">
      <c r="A40" s="2" t="s">
        <v>119</v>
      </c>
      <c r="B40" s="27"/>
      <c r="C40" s="24">
        <f>('Cruiciform Tail'!D21*('Cruiciform Tail'!D29+(Wing!B14-Wing!C51)+Wing!B21)/(Wing!C46*Wing!C48))</f>
        <v>0.21454306778807261</v>
      </c>
      <c r="D40" s="24"/>
      <c r="F40" s="27"/>
      <c r="G40" s="27"/>
      <c r="H40" s="27"/>
      <c r="I40" s="27"/>
      <c r="J40" s="27"/>
      <c r="K40" s="27"/>
    </row>
    <row r="41" spans="1:15" x14ac:dyDescent="0.25">
      <c r="A41" s="2" t="s">
        <v>113</v>
      </c>
      <c r="C41" s="94">
        <f>('Cruiciform Tail'!D23*0.095)/('Cruiciform Tail'!D23+18.25*0.095)</f>
        <v>6.7550864523296991E-2</v>
      </c>
      <c r="F41" s="31"/>
      <c r="J41" s="27"/>
      <c r="K41" s="27"/>
      <c r="L41" s="27"/>
    </row>
    <row r="42" spans="1:15" x14ac:dyDescent="0.25">
      <c r="A42" s="2" t="s">
        <v>112</v>
      </c>
      <c r="C42" s="94">
        <f>(Wing!C49*0.11)/(Wing!C49+18.25*0.11)</f>
        <v>9.2910643708023544E-2</v>
      </c>
      <c r="F42" s="2"/>
      <c r="G42" s="100"/>
      <c r="J42" s="27"/>
      <c r="K42" s="27"/>
      <c r="L42" s="27"/>
    </row>
    <row r="43" spans="1:15" x14ac:dyDescent="0.25">
      <c r="A43" s="2" t="s">
        <v>111</v>
      </c>
      <c r="C43" s="24">
        <f>C41/C42</f>
        <v>0.72705194827386022</v>
      </c>
      <c r="F43" s="2"/>
      <c r="G43" s="100"/>
      <c r="J43" s="27"/>
      <c r="K43" s="27"/>
      <c r="L43" s="27"/>
    </row>
    <row r="44" spans="1:15" x14ac:dyDescent="0.25">
      <c r="A44" s="2" t="s">
        <v>118</v>
      </c>
      <c r="C44" s="94">
        <f>(35*((C42)/Wing!C49))</f>
        <v>0.29794643597468279</v>
      </c>
      <c r="F44" s="2"/>
      <c r="G44" s="100"/>
      <c r="L44" s="27"/>
      <c r="M44" s="27"/>
      <c r="N44" s="27"/>
    </row>
    <row r="45" spans="1:15" x14ac:dyDescent="0.25">
      <c r="A45" s="2" t="s">
        <v>105</v>
      </c>
      <c r="B45" s="27"/>
      <c r="C45" s="24">
        <f>(0.25+(C32*C40*(C43)*(1-C44)))*100</f>
        <v>31.570545510169822</v>
      </c>
      <c r="D45" s="2" t="s">
        <v>107</v>
      </c>
      <c r="E45" s="2"/>
      <c r="F45" s="2"/>
      <c r="I45" s="27"/>
      <c r="J45" s="27"/>
      <c r="L45" s="27"/>
      <c r="M45" s="27"/>
    </row>
    <row r="46" spans="1:15" x14ac:dyDescent="0.25">
      <c r="A46" s="2" t="s">
        <v>106</v>
      </c>
      <c r="B46" s="27"/>
      <c r="C46" s="24">
        <f>Wing!C50+Wing!C48*C45/100</f>
        <v>15.442548071416583</v>
      </c>
      <c r="D46" s="2" t="s">
        <v>9</v>
      </c>
      <c r="E46" s="2"/>
      <c r="F46" s="2"/>
      <c r="G46" s="23"/>
      <c r="I46" s="27"/>
      <c r="J46" s="2"/>
      <c r="K46" s="27"/>
      <c r="L46" s="27"/>
      <c r="M46" s="27"/>
    </row>
    <row r="47" spans="1:15" x14ac:dyDescent="0.25">
      <c r="A47" s="3" t="s">
        <v>116</v>
      </c>
      <c r="B47" s="27"/>
      <c r="C47" s="24">
        <f>Wing!B14-C46</f>
        <v>34.557451928583419</v>
      </c>
      <c r="D47" s="2" t="s">
        <v>9</v>
      </c>
      <c r="E47" s="2"/>
      <c r="F47" s="27"/>
      <c r="G47" s="23"/>
      <c r="H47" s="2"/>
      <c r="I47" s="82"/>
      <c r="J47" s="27"/>
      <c r="K47" s="27"/>
      <c r="L47" s="27"/>
      <c r="M47" s="27"/>
    </row>
    <row r="48" spans="1:15" x14ac:dyDescent="0.25">
      <c r="A48" s="27"/>
      <c r="B48" s="27"/>
      <c r="C48" s="96"/>
      <c r="D48" s="27"/>
      <c r="E48" s="27"/>
      <c r="F48" s="27"/>
      <c r="G48" s="82"/>
      <c r="H48" s="27"/>
      <c r="I48" s="27"/>
      <c r="J48" s="27"/>
      <c r="K48" s="27"/>
      <c r="L48" s="27"/>
      <c r="M48" s="27"/>
    </row>
    <row r="49" spans="1:13" x14ac:dyDescent="0.25">
      <c r="A49" s="27"/>
      <c r="B49" s="27"/>
      <c r="C49" s="27"/>
      <c r="D49" s="27"/>
      <c r="E49" s="27"/>
      <c r="G49" s="27"/>
      <c r="H49" s="27"/>
      <c r="I49" s="27"/>
      <c r="J49" s="2"/>
      <c r="K49" s="27"/>
      <c r="L49" s="27"/>
      <c r="M49" s="27"/>
    </row>
    <row r="50" spans="1:13" x14ac:dyDescent="0.25">
      <c r="J50" s="2"/>
    </row>
    <row r="51" spans="1:13" x14ac:dyDescent="0.25">
      <c r="J51" s="2"/>
    </row>
  </sheetData>
  <sheetProtection sheet="1" objects="1" scenarios="1"/>
  <phoneticPr fontId="0" type="noConversion"/>
  <printOptions horizontalCentered="1" gridLinesSet="0"/>
  <pageMargins left="0.5" right="0.5" top="1" bottom="1" header="0.5" footer="0.5"/>
  <pageSetup orientation="landscape"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L33"/>
  <sheetViews>
    <sheetView showGridLines="0" workbookViewId="0">
      <selection activeCell="I30" sqref="I30"/>
    </sheetView>
  </sheetViews>
  <sheetFormatPr defaultColWidth="9" defaultRowHeight="13.8" x14ac:dyDescent="0.3"/>
  <cols>
    <col min="1" max="1" width="3.3984375" customWidth="1"/>
    <col min="2" max="2" width="10.8984375" customWidth="1"/>
    <col min="3" max="3" width="10.19921875" customWidth="1"/>
    <col min="7" max="7" width="9.3984375" customWidth="1"/>
    <col min="8" max="8" width="3.8984375" customWidth="1"/>
    <col min="9" max="9" width="7.8984375" customWidth="1"/>
  </cols>
  <sheetData>
    <row r="6" spans="2:12" s="3" customFormat="1" ht="15.6" x14ac:dyDescent="0.3">
      <c r="B6" s="27"/>
      <c r="D6" s="27"/>
      <c r="E6" s="27"/>
      <c r="F6" s="27"/>
      <c r="G6" s="37"/>
      <c r="I6" s="27"/>
    </row>
    <row r="7" spans="2:12" s="3" customFormat="1" ht="13.2" x14ac:dyDescent="0.25">
      <c r="B7" s="27"/>
      <c r="C7" s="28" t="s">
        <v>36</v>
      </c>
      <c r="D7" s="27"/>
      <c r="E7" s="27"/>
      <c r="F7" s="27"/>
      <c r="G7" s="27"/>
      <c r="H7" s="27"/>
      <c r="I7" s="27"/>
    </row>
    <row r="8" spans="2:12" s="3" customFormat="1" ht="13.2" x14ac:dyDescent="0.25">
      <c r="B8" s="27"/>
      <c r="C8" s="111">
        <v>0</v>
      </c>
      <c r="D8" s="27"/>
      <c r="E8" s="27"/>
      <c r="F8" s="27"/>
      <c r="G8" s="27"/>
      <c r="H8" s="27"/>
      <c r="I8" s="27"/>
    </row>
    <row r="9" spans="2:12" s="3" customFormat="1" ht="13.2" x14ac:dyDescent="0.25">
      <c r="C9" s="27"/>
      <c r="D9" s="27"/>
      <c r="F9" s="27"/>
      <c r="G9" s="27"/>
      <c r="H9" s="27" t="s">
        <v>2</v>
      </c>
      <c r="I9" s="27" t="s">
        <v>3</v>
      </c>
    </row>
    <row r="10" spans="2:12" s="3" customFormat="1" ht="13.2" x14ac:dyDescent="0.25">
      <c r="B10" s="28" t="s">
        <v>4</v>
      </c>
      <c r="C10" s="27"/>
      <c r="D10" s="27"/>
      <c r="E10" s="28" t="s">
        <v>6</v>
      </c>
      <c r="F10" s="27"/>
      <c r="G10" s="27"/>
      <c r="H10" s="27">
        <v>0</v>
      </c>
      <c r="I10" s="27">
        <v>0</v>
      </c>
    </row>
    <row r="11" spans="2:12" s="3" customFormat="1" ht="13.2" x14ac:dyDescent="0.25">
      <c r="B11" s="111">
        <v>0</v>
      </c>
      <c r="C11" s="27"/>
      <c r="D11" s="27"/>
      <c r="E11" s="111">
        <v>0</v>
      </c>
      <c r="F11" s="27"/>
      <c r="G11" s="27"/>
      <c r="H11" s="27">
        <v>0</v>
      </c>
      <c r="I11" s="27">
        <f>B11</f>
        <v>0</v>
      </c>
    </row>
    <row r="12" spans="2:12" s="3" customFormat="1" ht="13.2" x14ac:dyDescent="0.25">
      <c r="B12" s="27"/>
      <c r="D12" s="27"/>
      <c r="E12" s="27"/>
      <c r="F12" s="27"/>
      <c r="G12" s="27"/>
      <c r="H12" s="27">
        <f>C14</f>
        <v>0</v>
      </c>
      <c r="I12" s="27">
        <f>B11-C8</f>
        <v>0</v>
      </c>
    </row>
    <row r="13" spans="2:12" s="3" customFormat="1" ht="13.2" x14ac:dyDescent="0.25">
      <c r="B13" s="27"/>
      <c r="C13" s="28" t="s">
        <v>37</v>
      </c>
      <c r="D13" s="27"/>
      <c r="E13" s="27"/>
      <c r="F13" s="27"/>
      <c r="G13" s="27"/>
      <c r="H13" s="27">
        <f>C14</f>
        <v>0</v>
      </c>
      <c r="I13" s="27">
        <f>I12-E11</f>
        <v>0</v>
      </c>
    </row>
    <row r="14" spans="2:12" s="3" customFormat="1" ht="13.2" x14ac:dyDescent="0.25">
      <c r="B14" s="27"/>
      <c r="C14" s="111">
        <v>0</v>
      </c>
      <c r="D14" s="27"/>
      <c r="E14" s="27"/>
      <c r="F14" s="27"/>
      <c r="G14" s="27"/>
      <c r="H14" s="27">
        <v>0</v>
      </c>
      <c r="I14" s="27">
        <v>0</v>
      </c>
      <c r="L14" s="27"/>
    </row>
    <row r="15" spans="2:12" s="3" customFormat="1" ht="13.2" x14ac:dyDescent="0.25">
      <c r="B15" s="27"/>
      <c r="C15" s="27"/>
      <c r="D15" s="27"/>
      <c r="E15" s="27"/>
      <c r="F15" s="27"/>
      <c r="G15" s="27"/>
      <c r="H15" s="27"/>
      <c r="I15" s="27"/>
      <c r="L15" s="27"/>
    </row>
    <row r="16" spans="2:12" s="3" customFormat="1" ht="13.2" x14ac:dyDescent="0.25">
      <c r="B16" s="27"/>
      <c r="C16" s="27"/>
      <c r="D16" s="27"/>
      <c r="E16" s="27"/>
      <c r="F16" s="27"/>
      <c r="G16" s="27"/>
      <c r="H16" s="27">
        <v>0</v>
      </c>
      <c r="I16" s="27" t="e">
        <f>B11-D30</f>
        <v>#DIV/0!</v>
      </c>
      <c r="L16" s="27"/>
    </row>
    <row r="17" spans="2:12" s="3" customFormat="1" ht="13.2" x14ac:dyDescent="0.25">
      <c r="B17" s="43"/>
      <c r="C17" s="27"/>
      <c r="D17" s="27"/>
      <c r="E17" s="27"/>
      <c r="F17" s="27"/>
      <c r="G17" s="27"/>
      <c r="H17" s="27"/>
      <c r="I17" s="27"/>
      <c r="L17" s="27"/>
    </row>
    <row r="18" spans="2:12" s="3" customFormat="1" ht="13.2" x14ac:dyDescent="0.25">
      <c r="B18" s="27"/>
      <c r="C18" s="27"/>
      <c r="D18" s="27"/>
      <c r="E18" s="27"/>
      <c r="F18" s="27"/>
      <c r="G18" s="27"/>
      <c r="H18" s="27"/>
      <c r="I18" s="27"/>
      <c r="L18" s="27"/>
    </row>
    <row r="19" spans="2:12" s="3" customFormat="1" ht="13.2" x14ac:dyDescent="0.25">
      <c r="B19" s="27"/>
      <c r="C19" s="27"/>
      <c r="D19" s="27"/>
      <c r="E19" s="27"/>
      <c r="F19" s="27"/>
      <c r="G19" s="27"/>
      <c r="H19" s="27"/>
      <c r="I19" s="27"/>
      <c r="L19" s="27"/>
    </row>
    <row r="20" spans="2:12" s="3" customFormat="1" ht="13.2" x14ac:dyDescent="0.25">
      <c r="B20" s="27"/>
      <c r="C20" s="27"/>
      <c r="D20" s="27"/>
      <c r="E20" s="27"/>
      <c r="F20" s="44" t="s">
        <v>109</v>
      </c>
      <c r="G20" s="27"/>
      <c r="H20" s="27"/>
      <c r="I20" s="27"/>
      <c r="L20" s="27"/>
    </row>
    <row r="21" spans="2:12" s="3" customFormat="1" x14ac:dyDescent="0.3">
      <c r="B21" s="27"/>
      <c r="C21" s="27"/>
      <c r="D21" s="27"/>
      <c r="E21" s="27"/>
      <c r="F21" s="27"/>
      <c r="G21" s="18"/>
      <c r="H21" s="45"/>
      <c r="I21" s="17"/>
      <c r="L21" s="27"/>
    </row>
    <row r="22" spans="2:12" s="3" customFormat="1" ht="15.6" x14ac:dyDescent="0.3">
      <c r="C22" s="74" t="s">
        <v>83</v>
      </c>
      <c r="D22" s="35"/>
      <c r="F22" s="27"/>
      <c r="G22" s="18"/>
      <c r="H22" s="45"/>
      <c r="I22" s="17"/>
      <c r="L22" s="27"/>
    </row>
    <row r="23" spans="2:12" s="3" customFormat="1" ht="13.2" x14ac:dyDescent="0.25">
      <c r="B23" s="2" t="s">
        <v>17</v>
      </c>
      <c r="D23" s="23">
        <f>2*C14</f>
        <v>0</v>
      </c>
      <c r="E23" s="2" t="s">
        <v>9</v>
      </c>
      <c r="L23" s="27"/>
    </row>
    <row r="24" spans="2:12" s="3" customFormat="1" ht="13.2" x14ac:dyDescent="0.25">
      <c r="B24" s="2" t="s">
        <v>18</v>
      </c>
      <c r="D24" s="23" t="e">
        <f>D23*D25</f>
        <v>#DIV/0!</v>
      </c>
      <c r="E24" s="2" t="s">
        <v>14</v>
      </c>
      <c r="L24" s="27"/>
    </row>
    <row r="25" spans="2:12" s="3" customFormat="1" ht="13.2" x14ac:dyDescent="0.25">
      <c r="B25" s="2" t="s">
        <v>21</v>
      </c>
      <c r="D25" s="23" t="e">
        <f>D29/C14</f>
        <v>#DIV/0!</v>
      </c>
      <c r="E25" s="2" t="s">
        <v>9</v>
      </c>
      <c r="G25" s="90" t="e">
        <f>180-I31*2</f>
        <v>#DIV/0!</v>
      </c>
      <c r="H25" s="3" t="s">
        <v>79</v>
      </c>
      <c r="L25" s="27"/>
    </row>
    <row r="26" spans="2:12" s="3" customFormat="1" ht="13.2" x14ac:dyDescent="0.25">
      <c r="B26" s="20" t="s">
        <v>132</v>
      </c>
      <c r="D26" s="21" t="e">
        <f>D23/D25</f>
        <v>#DIV/0!</v>
      </c>
      <c r="E26" s="19"/>
      <c r="L26" s="27"/>
    </row>
    <row r="27" spans="2:12" s="3" customFormat="1" ht="13.2" x14ac:dyDescent="0.25">
      <c r="B27" s="20"/>
      <c r="D27" s="21"/>
      <c r="E27" s="19"/>
      <c r="L27" s="27"/>
    </row>
    <row r="28" spans="2:12" s="3" customFormat="1" ht="13.2" x14ac:dyDescent="0.25">
      <c r="C28" s="75" t="s">
        <v>84</v>
      </c>
      <c r="L28" s="27"/>
    </row>
    <row r="29" spans="2:12" s="3" customFormat="1" ht="13.2" x14ac:dyDescent="0.25">
      <c r="B29" s="2" t="s">
        <v>13</v>
      </c>
      <c r="D29" s="23">
        <f>C14*(B11+E11)/2</f>
        <v>0</v>
      </c>
      <c r="E29" s="3" t="s">
        <v>14</v>
      </c>
      <c r="I29" s="28" t="s">
        <v>53</v>
      </c>
      <c r="L29" s="2"/>
    </row>
    <row r="30" spans="2:12" s="3" customFormat="1" ht="13.2" x14ac:dyDescent="0.25">
      <c r="B30" s="2" t="s">
        <v>16</v>
      </c>
      <c r="D30" s="23" t="e">
        <f>C8*(B11+2*E11)/3/(B11+E11)+(B11+E11-B11*E11/(B11+E11))/6</f>
        <v>#DIV/0!</v>
      </c>
      <c r="E30" s="3" t="s">
        <v>9</v>
      </c>
      <c r="G30" s="28"/>
      <c r="I30" s="114">
        <v>0</v>
      </c>
      <c r="L30" s="2"/>
    </row>
    <row r="31" spans="2:12" s="3" customFormat="1" ht="13.2" x14ac:dyDescent="0.25">
      <c r="B31" s="3" t="s">
        <v>23</v>
      </c>
      <c r="D31" s="23" t="e">
        <f>D29*D30/D29*2-D25*0.25</f>
        <v>#DIV/0!</v>
      </c>
      <c r="E31" s="3" t="s">
        <v>9</v>
      </c>
      <c r="G31" s="82"/>
      <c r="H31" s="27"/>
      <c r="I31" s="90" t="e">
        <f>ATAN(I30/C14)*(180/(PI()))</f>
        <v>#DIV/0!</v>
      </c>
      <c r="J31" s="3" t="s">
        <v>79</v>
      </c>
      <c r="L31" s="2"/>
    </row>
    <row r="32" spans="2:12" s="3" customFormat="1" ht="13.2" x14ac:dyDescent="0.25">
      <c r="L32" s="2"/>
    </row>
    <row r="33" spans="12:12" s="3" customFormat="1" ht="13.2" x14ac:dyDescent="0.25">
      <c r="L33" s="2"/>
    </row>
  </sheetData>
  <sheetProtection sheet="1" objects="1" scenarios="1"/>
  <phoneticPr fontId="0" type="noConversion"/>
  <pageMargins left="0.75" right="0.75" top="1" bottom="1" header="0.5" footer="0.5"/>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pageSetUpPr fitToPage="1"/>
  </sheetPr>
  <dimension ref="A14:O49"/>
  <sheetViews>
    <sheetView showGridLines="0" zoomScale="85" workbookViewId="0"/>
  </sheetViews>
  <sheetFormatPr defaultColWidth="10.59765625" defaultRowHeight="13.2" x14ac:dyDescent="0.25"/>
  <cols>
    <col min="1" max="1" width="5" style="3" customWidth="1"/>
    <col min="2" max="2" width="19.8984375" style="3" customWidth="1"/>
    <col min="3" max="3" width="15.3984375" style="3" customWidth="1"/>
    <col min="4" max="4" width="15" style="3" bestFit="1" customWidth="1"/>
    <col min="5" max="5" width="9.3984375" style="3" customWidth="1"/>
    <col min="6" max="6" width="21.19921875" style="3" bestFit="1" customWidth="1"/>
    <col min="7" max="7" width="20.5" style="3" customWidth="1"/>
    <col min="8" max="8" width="7" style="3" customWidth="1"/>
    <col min="9" max="9" width="11.5" style="3" customWidth="1"/>
    <col min="10" max="10" width="21.19921875" style="3" bestFit="1" customWidth="1"/>
    <col min="11" max="11" width="8.5" style="3" customWidth="1"/>
    <col min="12" max="12" width="11.69921875" style="3" customWidth="1"/>
    <col min="13" max="13" width="16.19921875" style="3" bestFit="1" customWidth="1"/>
    <col min="14" max="14" width="5.59765625" style="3" customWidth="1"/>
    <col min="15" max="15" width="5.69921875" style="3" customWidth="1"/>
    <col min="16" max="16" width="6.69921875" style="3" customWidth="1"/>
    <col min="17" max="17" width="10.59765625" style="3"/>
    <col min="18" max="18" width="20.19921875" style="3" customWidth="1"/>
    <col min="19" max="19" width="3.59765625" style="3" customWidth="1"/>
    <col min="20" max="20" width="9.19921875" style="3" bestFit="1" customWidth="1"/>
    <col min="21" max="21" width="13.69921875" style="3" bestFit="1" customWidth="1"/>
    <col min="22" max="16384" width="10.59765625" style="3"/>
  </cols>
  <sheetData>
    <row r="14" spans="1:7" ht="12.75" customHeight="1" x14ac:dyDescent="0.3">
      <c r="A14" s="16"/>
    </row>
    <row r="15" spans="1:7" ht="12.75" customHeight="1" x14ac:dyDescent="0.3">
      <c r="A15" s="16"/>
    </row>
    <row r="16" spans="1:7" ht="12.75" customHeight="1" x14ac:dyDescent="0.3">
      <c r="A16" s="16"/>
      <c r="B16" s="27" t="s">
        <v>2</v>
      </c>
      <c r="C16" s="27" t="s">
        <v>3</v>
      </c>
      <c r="D16" s="27" t="s">
        <v>2</v>
      </c>
      <c r="E16" s="27" t="s">
        <v>3</v>
      </c>
      <c r="F16" s="27" t="s">
        <v>2</v>
      </c>
      <c r="G16" s="27" t="s">
        <v>3</v>
      </c>
    </row>
    <row r="17" spans="1:7" ht="12.75" customHeight="1" x14ac:dyDescent="0.3">
      <c r="A17" s="16"/>
      <c r="B17" s="27">
        <f>Wing!J9</f>
        <v>0</v>
      </c>
      <c r="C17" s="27">
        <f>Wing!K9</f>
        <v>0</v>
      </c>
      <c r="D17" s="27">
        <f>Wing!L9</f>
        <v>191</v>
      </c>
      <c r="E17" s="27">
        <f>Wing!M9</f>
        <v>41</v>
      </c>
      <c r="F17" s="27">
        <f>Wing!N9</f>
        <v>191</v>
      </c>
      <c r="G17" s="27">
        <f>Wing!O9</f>
        <v>41</v>
      </c>
    </row>
    <row r="18" spans="1:7" ht="12.75" customHeight="1" x14ac:dyDescent="0.3">
      <c r="A18" s="16"/>
      <c r="B18" s="27">
        <f>Wing!J10</f>
        <v>0</v>
      </c>
      <c r="C18" s="27">
        <f>Wing!K10</f>
        <v>50</v>
      </c>
      <c r="D18" s="27">
        <f>Wing!L10</f>
        <v>191</v>
      </c>
      <c r="E18" s="27">
        <f>Wing!M10</f>
        <v>41</v>
      </c>
      <c r="F18" s="27">
        <f>Wing!N10</f>
        <v>191</v>
      </c>
      <c r="G18" s="27">
        <f>Wing!O10</f>
        <v>41</v>
      </c>
    </row>
    <row r="19" spans="1:7" ht="12.75" customHeight="1" x14ac:dyDescent="0.3">
      <c r="A19" s="16"/>
      <c r="B19" s="27">
        <f>Wing!J11</f>
        <v>191</v>
      </c>
      <c r="C19" s="27">
        <f>Wing!K11</f>
        <v>41</v>
      </c>
      <c r="D19" s="27">
        <f>Wing!L11</f>
        <v>191</v>
      </c>
      <c r="E19" s="27">
        <f>Wing!M11</f>
        <v>41</v>
      </c>
      <c r="F19" s="27">
        <f>Wing!N11</f>
        <v>191</v>
      </c>
      <c r="G19" s="27">
        <f>Wing!O11</f>
        <v>41</v>
      </c>
    </row>
    <row r="20" spans="1:7" ht="12.75" customHeight="1" x14ac:dyDescent="0.3">
      <c r="A20" s="16"/>
      <c r="B20" s="27">
        <f>Wing!J12</f>
        <v>191</v>
      </c>
      <c r="C20" s="27">
        <f>Wing!K12</f>
        <v>21</v>
      </c>
      <c r="D20" s="27">
        <f>Wing!L12</f>
        <v>191</v>
      </c>
      <c r="E20" s="27">
        <f>Wing!M12</f>
        <v>21</v>
      </c>
      <c r="F20" s="27">
        <f>Wing!N12</f>
        <v>191</v>
      </c>
      <c r="G20" s="27">
        <f>Wing!O12</f>
        <v>41</v>
      </c>
    </row>
    <row r="21" spans="1:7" ht="12.75" customHeight="1" x14ac:dyDescent="0.3">
      <c r="A21" s="16"/>
      <c r="B21" s="27">
        <f>Wing!J13</f>
        <v>0</v>
      </c>
      <c r="C21" s="27">
        <f>Wing!K13</f>
        <v>0</v>
      </c>
      <c r="D21" s="27"/>
      <c r="E21" s="27"/>
      <c r="F21" s="27"/>
      <c r="G21" s="27"/>
    </row>
    <row r="22" spans="1:7" ht="12.75" customHeight="1" x14ac:dyDescent="0.3">
      <c r="A22" s="16"/>
      <c r="B22" s="27"/>
      <c r="C22" s="27"/>
      <c r="D22" s="27"/>
      <c r="E22" s="27"/>
      <c r="F22" s="27"/>
      <c r="G22" s="27"/>
    </row>
    <row r="23" spans="1:7" ht="12.75" customHeight="1" x14ac:dyDescent="0.3">
      <c r="A23" s="16"/>
      <c r="B23" s="28">
        <v>0</v>
      </c>
      <c r="C23" s="28">
        <f>Wing!B14-D36</f>
        <v>47.6</v>
      </c>
      <c r="D23" s="27"/>
      <c r="E23" s="27"/>
      <c r="F23" s="27"/>
      <c r="G23" s="27"/>
    </row>
    <row r="24" spans="1:7" ht="12.75" customHeight="1" x14ac:dyDescent="0.3">
      <c r="A24" s="16"/>
      <c r="B24" s="96">
        <v>0</v>
      </c>
      <c r="C24" s="95" t="e">
        <f>C47</f>
        <v>#DIV/0!</v>
      </c>
      <c r="D24" s="27"/>
      <c r="E24" s="27"/>
      <c r="F24" s="27"/>
      <c r="G24" s="27"/>
    </row>
    <row r="25" spans="1:7" ht="12.75" customHeight="1" x14ac:dyDescent="0.3">
      <c r="A25" s="16"/>
    </row>
    <row r="26" spans="1:7" ht="12.75" customHeight="1" x14ac:dyDescent="0.3">
      <c r="A26" s="16"/>
    </row>
    <row r="27" spans="1:7" ht="12.75" customHeight="1" x14ac:dyDescent="0.3">
      <c r="A27" s="16"/>
    </row>
    <row r="28" spans="1:7" ht="17.399999999999999" x14ac:dyDescent="0.3">
      <c r="A28" s="16"/>
    </row>
    <row r="29" spans="1:7" ht="15.75" customHeight="1" x14ac:dyDescent="0.3">
      <c r="A29" s="16"/>
      <c r="B29" s="31" t="s">
        <v>130</v>
      </c>
    </row>
    <row r="30" spans="1:7" ht="12.75" customHeight="1" x14ac:dyDescent="0.3">
      <c r="A30" s="16"/>
      <c r="B30" s="31" t="s">
        <v>131</v>
      </c>
    </row>
    <row r="31" spans="1:7" ht="12.75" customHeight="1" x14ac:dyDescent="0.3">
      <c r="B31" s="16"/>
    </row>
    <row r="32" spans="1:7" ht="12.75" customHeight="1" x14ac:dyDescent="0.25">
      <c r="B32" s="101" t="s">
        <v>121</v>
      </c>
      <c r="C32" s="110">
        <v>0.6</v>
      </c>
    </row>
    <row r="33" spans="1:15" ht="12.75" customHeight="1" x14ac:dyDescent="0.25">
      <c r="B33" s="27"/>
      <c r="C33" s="47" t="s">
        <v>122</v>
      </c>
      <c r="D33" s="47" t="s">
        <v>123</v>
      </c>
      <c r="E33" s="47" t="s">
        <v>10</v>
      </c>
    </row>
    <row r="34" spans="1:15" ht="12.75" customHeight="1" x14ac:dyDescent="0.25">
      <c r="B34" s="2" t="s">
        <v>117</v>
      </c>
      <c r="C34" s="33" t="e">
        <f>C45-E34</f>
        <v>#DIV/0!</v>
      </c>
      <c r="D34" s="82" t="e">
        <f>Wing!C50+Wing!C48*E34/100</f>
        <v>#DIV/0!</v>
      </c>
      <c r="E34" s="33" t="e">
        <f>C45</f>
        <v>#DIV/0!</v>
      </c>
      <c r="K34" s="90"/>
      <c r="N34" s="24"/>
      <c r="O34" s="100"/>
    </row>
    <row r="35" spans="1:15" s="27" customFormat="1" ht="12.75" customHeight="1" x14ac:dyDescent="0.25">
      <c r="B35" s="101" t="s">
        <v>158</v>
      </c>
      <c r="C35" s="114">
        <v>10</v>
      </c>
      <c r="D35" s="82" t="e">
        <f>Wing!C50+Wing!C48*E35/100</f>
        <v>#DIV/0!</v>
      </c>
      <c r="E35" s="33" t="e">
        <f>C45-C35</f>
        <v>#DIV/0!</v>
      </c>
      <c r="G35" s="99"/>
      <c r="H35" s="24"/>
      <c r="I35" s="3"/>
      <c r="J35" s="78"/>
      <c r="K35" s="24"/>
      <c r="L35" s="3"/>
      <c r="M35" s="3"/>
    </row>
    <row r="36" spans="1:15" ht="12.75" customHeight="1" x14ac:dyDescent="0.25">
      <c r="B36" s="101" t="s">
        <v>124</v>
      </c>
      <c r="C36" s="33" t="e">
        <f>C45-E36</f>
        <v>#DIV/0!</v>
      </c>
      <c r="D36" s="113">
        <v>2.4</v>
      </c>
      <c r="E36" s="33">
        <f>(D36-Wing!C50)/Wing!C48*100</f>
        <v>-5.6938775510204174</v>
      </c>
      <c r="I36" s="1"/>
      <c r="K36" s="27"/>
      <c r="L36" s="90"/>
      <c r="M36" s="97"/>
      <c r="N36" s="24"/>
      <c r="O36" s="23"/>
    </row>
    <row r="37" spans="1:15" s="27" customFormat="1" ht="12.75" customHeight="1" x14ac:dyDescent="0.25">
      <c r="B37" s="101" t="s">
        <v>120</v>
      </c>
      <c r="C37" s="33" t="e">
        <f>(C45-E37)</f>
        <v>#DIV/0!</v>
      </c>
      <c r="D37" s="82">
        <f>Wing!C50+Wing!C48*E37/100</f>
        <v>12.582857142857145</v>
      </c>
      <c r="E37" s="111">
        <v>23.4</v>
      </c>
      <c r="F37" s="24"/>
      <c r="G37" s="3"/>
      <c r="H37" s="3"/>
      <c r="I37" s="1"/>
      <c r="J37" s="80"/>
      <c r="K37" s="24"/>
      <c r="L37" s="3"/>
      <c r="M37" s="2"/>
      <c r="N37" s="24"/>
      <c r="O37" s="3"/>
    </row>
    <row r="38" spans="1:15" x14ac:dyDescent="0.25">
      <c r="A38" s="2"/>
      <c r="C38" s="23"/>
      <c r="E38" s="2"/>
      <c r="F38" s="2"/>
      <c r="H38" s="24"/>
    </row>
    <row r="39" spans="1:15" x14ac:dyDescent="0.25">
      <c r="A39" s="72" t="s">
        <v>57</v>
      </c>
      <c r="B39" s="27"/>
      <c r="C39" s="27"/>
      <c r="D39" s="27"/>
      <c r="E39" s="27"/>
      <c r="F39" s="27"/>
      <c r="G39" s="27"/>
      <c r="H39" s="27"/>
      <c r="I39" s="27"/>
      <c r="J39" s="81"/>
      <c r="K39" s="24"/>
    </row>
    <row r="40" spans="1:15" x14ac:dyDescent="0.25">
      <c r="A40" s="2" t="s">
        <v>119</v>
      </c>
      <c r="B40" s="27"/>
      <c r="C40" s="24" t="e">
        <f>(C48*(COS(PI()*((180-'V-Tail'!G25)/2)/180))*('V-Tail'!D31+(Wing!B14-Wing!C51)+Wing!B21)/(Wing!C46*Wing!C48))</f>
        <v>#DIV/0!</v>
      </c>
      <c r="D40" s="24"/>
      <c r="E40" s="100"/>
      <c r="F40" s="2"/>
      <c r="J40" s="27"/>
      <c r="K40" s="27"/>
      <c r="L40" s="27"/>
    </row>
    <row r="41" spans="1:15" x14ac:dyDescent="0.25">
      <c r="A41" s="2" t="s">
        <v>113</v>
      </c>
      <c r="C41" s="94" t="e">
        <f>('V-Tail'!D26*0.095)/('V-Tail'!D26+18.25*0.095)*(COS(PI()*((180-'V-Tail'!G25)/2)/180))</f>
        <v>#DIV/0!</v>
      </c>
      <c r="E41" s="105"/>
      <c r="F41" s="2"/>
      <c r="K41" s="27"/>
      <c r="L41" s="27"/>
      <c r="M41" s="27"/>
    </row>
    <row r="42" spans="1:15" x14ac:dyDescent="0.25">
      <c r="A42" s="2" t="s">
        <v>112</v>
      </c>
      <c r="C42" s="94">
        <f>(Wing!C49*0.11)/(Wing!C49+18.25*0.11)</f>
        <v>9.2910643708023544E-2</v>
      </c>
      <c r="F42" s="2"/>
      <c r="K42" s="27"/>
      <c r="L42" s="27"/>
      <c r="M42" s="27"/>
    </row>
    <row r="43" spans="1:15" x14ac:dyDescent="0.25">
      <c r="A43" s="2" t="s">
        <v>111</v>
      </c>
      <c r="C43" s="24" t="e">
        <f>C41/C42</f>
        <v>#DIV/0!</v>
      </c>
      <c r="F43" s="2"/>
      <c r="K43" s="27"/>
      <c r="L43" s="27"/>
      <c r="M43" s="27"/>
    </row>
    <row r="44" spans="1:15" x14ac:dyDescent="0.25">
      <c r="A44" s="2" t="s">
        <v>118</v>
      </c>
      <c r="C44" s="24">
        <f>(35*((C42)/Wing!C49))</f>
        <v>0.29794643597468279</v>
      </c>
      <c r="F44" s="2"/>
      <c r="K44" s="27"/>
      <c r="L44" s="27"/>
      <c r="M44" s="27"/>
    </row>
    <row r="45" spans="1:15" x14ac:dyDescent="0.25">
      <c r="A45" s="2" t="s">
        <v>105</v>
      </c>
      <c r="B45" s="27"/>
      <c r="C45" s="24" t="e">
        <f>(0.25+(C32*C40*C43)*(1-C44))*100</f>
        <v>#DIV/0!</v>
      </c>
      <c r="D45" s="2" t="s">
        <v>107</v>
      </c>
      <c r="E45" s="2"/>
      <c r="F45" s="2"/>
      <c r="G45" s="27"/>
      <c r="H45" s="27"/>
      <c r="I45" s="27"/>
      <c r="K45" s="27"/>
      <c r="L45" s="27"/>
    </row>
    <row r="46" spans="1:15" x14ac:dyDescent="0.25">
      <c r="A46" s="2" t="s">
        <v>106</v>
      </c>
      <c r="B46" s="27"/>
      <c r="C46" s="24" t="e">
        <f>Wing!C50+Wing!C48*C45/100</f>
        <v>#DIV/0!</v>
      </c>
      <c r="D46" s="2" t="s">
        <v>9</v>
      </c>
      <c r="E46" s="2"/>
      <c r="F46" s="2"/>
      <c r="G46" s="27"/>
      <c r="H46" s="27"/>
      <c r="I46" s="27"/>
      <c r="J46" s="27"/>
      <c r="K46" s="27"/>
      <c r="L46" s="27"/>
    </row>
    <row r="47" spans="1:15" x14ac:dyDescent="0.25">
      <c r="A47" s="3" t="s">
        <v>116</v>
      </c>
      <c r="B47" s="27"/>
      <c r="C47" s="24" t="e">
        <f>Wing!B14-C46</f>
        <v>#DIV/0!</v>
      </c>
      <c r="D47" s="2" t="s">
        <v>9</v>
      </c>
      <c r="E47" s="2"/>
      <c r="F47" s="2"/>
      <c r="G47" s="27"/>
      <c r="H47" s="82"/>
      <c r="I47" s="27"/>
      <c r="J47" s="27"/>
      <c r="K47" s="27"/>
      <c r="L47" s="27"/>
    </row>
    <row r="48" spans="1:15" x14ac:dyDescent="0.25">
      <c r="A48" s="81" t="s">
        <v>135</v>
      </c>
      <c r="C48" s="24" t="e">
        <f>'V-Tail'!D29*2/(1+TAN('V-Tail'!I31*PI()/180))</f>
        <v>#DIV/0!</v>
      </c>
      <c r="D48" s="3" t="s">
        <v>80</v>
      </c>
      <c r="E48" s="27"/>
      <c r="F48" s="27"/>
      <c r="G48" s="27"/>
      <c r="H48" s="27"/>
      <c r="I48" s="27"/>
      <c r="J48" s="27"/>
      <c r="K48" s="27"/>
    </row>
    <row r="49" spans="1:11" x14ac:dyDescent="0.25">
      <c r="A49" s="81" t="s">
        <v>136</v>
      </c>
      <c r="C49" s="24" t="e">
        <f>C48*(TAN('V-Tail'!I31*PI()/180))</f>
        <v>#DIV/0!</v>
      </c>
      <c r="D49" s="3" t="s">
        <v>80</v>
      </c>
      <c r="E49" s="27"/>
      <c r="F49" s="27"/>
      <c r="G49" s="27"/>
      <c r="H49" s="27"/>
      <c r="I49" s="27"/>
      <c r="J49" s="27"/>
      <c r="K49" s="27"/>
    </row>
  </sheetData>
  <sheetProtection sheet="1" objects="1" scenarios="1"/>
  <phoneticPr fontId="0" type="noConversion"/>
  <printOptions horizontalCentered="1" gridLinesSet="0"/>
  <pageMargins left="0.5" right="0.5" top="1" bottom="1" header="0.5" footer="0.5"/>
  <pageSetup orientation="landscape" horizontalDpi="300" verticalDpi="30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9:M70"/>
  <sheetViews>
    <sheetView showGridLines="0" workbookViewId="0">
      <selection activeCell="H32" sqref="H32"/>
    </sheetView>
  </sheetViews>
  <sheetFormatPr defaultColWidth="9" defaultRowHeight="13.2" x14ac:dyDescent="0.25"/>
  <cols>
    <col min="1" max="1" width="3.09765625" style="3" customWidth="1"/>
    <col min="2" max="2" width="5.3984375" style="3" customWidth="1"/>
    <col min="3" max="3" width="22.3984375" style="3" customWidth="1"/>
    <col min="4" max="5" width="9" style="3"/>
    <col min="6" max="6" width="10.5" style="3" customWidth="1"/>
    <col min="7" max="7" width="7.19921875" style="3" customWidth="1"/>
    <col min="8" max="8" width="8" style="3" customWidth="1"/>
    <col min="9" max="16384" width="9" style="3"/>
  </cols>
  <sheetData>
    <row r="9" spans="2:8" x14ac:dyDescent="0.25">
      <c r="B9" s="76"/>
    </row>
    <row r="10" spans="2:8" x14ac:dyDescent="0.25">
      <c r="B10" s="76"/>
    </row>
    <row r="11" spans="2:8" x14ac:dyDescent="0.25">
      <c r="C11" s="85" t="s">
        <v>95</v>
      </c>
      <c r="D11" s="113">
        <v>102</v>
      </c>
      <c r="E11" s="3" t="s">
        <v>80</v>
      </c>
    </row>
    <row r="12" spans="2:8" x14ac:dyDescent="0.25">
      <c r="C12" s="85" t="s">
        <v>96</v>
      </c>
      <c r="D12" s="113">
        <v>73.5</v>
      </c>
      <c r="E12" s="3" t="s">
        <v>80</v>
      </c>
    </row>
    <row r="13" spans="2:8" ht="15.6" x14ac:dyDescent="0.25">
      <c r="C13" s="78" t="s">
        <v>85</v>
      </c>
      <c r="D13" s="79"/>
      <c r="E13" s="77"/>
    </row>
    <row r="14" spans="2:8" x14ac:dyDescent="0.25">
      <c r="C14" s="86" t="s">
        <v>134</v>
      </c>
      <c r="D14" s="79">
        <f>(D11+D12)/2</f>
        <v>87.75</v>
      </c>
      <c r="E14" s="77" t="s">
        <v>80</v>
      </c>
    </row>
    <row r="15" spans="2:8" x14ac:dyDescent="0.25">
      <c r="C15" s="86" t="s">
        <v>97</v>
      </c>
      <c r="D15" s="79">
        <f>ATAN(D12/D11)*180/PI()</f>
        <v>35.776077717894658</v>
      </c>
      <c r="E15" s="77" t="s">
        <v>79</v>
      </c>
      <c r="H15" s="87"/>
    </row>
    <row r="16" spans="2:8" x14ac:dyDescent="0.25">
      <c r="C16" s="2" t="s">
        <v>86</v>
      </c>
      <c r="D16" s="24">
        <f>180-(D15*2)</f>
        <v>108.44784456421068</v>
      </c>
      <c r="E16" s="3" t="s">
        <v>79</v>
      </c>
    </row>
    <row r="17" spans="2:5" x14ac:dyDescent="0.25">
      <c r="C17" s="2"/>
      <c r="D17" s="24"/>
    </row>
    <row r="18" spans="2:5" x14ac:dyDescent="0.25">
      <c r="B18" s="2"/>
      <c r="C18" s="24"/>
    </row>
    <row r="19" spans="2:5" x14ac:dyDescent="0.25">
      <c r="B19" s="2"/>
      <c r="C19" s="24"/>
    </row>
    <row r="20" spans="2:5" x14ac:dyDescent="0.25">
      <c r="B20" s="2"/>
      <c r="C20" s="24"/>
    </row>
    <row r="21" spans="2:5" x14ac:dyDescent="0.25">
      <c r="B21" s="2"/>
      <c r="C21" s="24"/>
    </row>
    <row r="22" spans="2:5" x14ac:dyDescent="0.25">
      <c r="C22" s="80" t="s">
        <v>133</v>
      </c>
      <c r="D22" s="113">
        <v>87.75</v>
      </c>
      <c r="E22" s="3" t="s">
        <v>80</v>
      </c>
    </row>
    <row r="23" spans="2:5" ht="15.6" x14ac:dyDescent="0.25">
      <c r="C23" s="78" t="s">
        <v>85</v>
      </c>
      <c r="D23" s="24"/>
    </row>
    <row r="24" spans="2:5" x14ac:dyDescent="0.25">
      <c r="C24" s="81" t="s">
        <v>95</v>
      </c>
      <c r="D24" s="24" t="e">
        <f>D22*2/(1+TAN('V-Tail'!I31*PI()/180))</f>
        <v>#DIV/0!</v>
      </c>
      <c r="E24" s="3" t="s">
        <v>80</v>
      </c>
    </row>
    <row r="25" spans="2:5" x14ac:dyDescent="0.25">
      <c r="C25" s="81" t="s">
        <v>96</v>
      </c>
      <c r="D25" s="24" t="e">
        <f>D24*(TAN('V-Tail'!I31*PI()/180))</f>
        <v>#DIV/0!</v>
      </c>
      <c r="E25" s="3" t="s">
        <v>80</v>
      </c>
    </row>
    <row r="26" spans="2:5" x14ac:dyDescent="0.25">
      <c r="B26" s="2"/>
      <c r="C26" s="24"/>
    </row>
    <row r="34" spans="3:5" x14ac:dyDescent="0.25">
      <c r="E34" s="28"/>
    </row>
    <row r="35" spans="3:5" x14ac:dyDescent="0.25">
      <c r="C35" s="28"/>
      <c r="E35" s="82"/>
    </row>
    <row r="36" spans="3:5" x14ac:dyDescent="0.25">
      <c r="C36" s="82"/>
      <c r="D36" s="27"/>
      <c r="E36" s="24"/>
    </row>
    <row r="67" spans="2:13" x14ac:dyDescent="0.25">
      <c r="M67" s="2"/>
    </row>
    <row r="68" spans="2:13" x14ac:dyDescent="0.25">
      <c r="M68" s="2"/>
    </row>
    <row r="70" spans="2:13" x14ac:dyDescent="0.25">
      <c r="B70" s="83"/>
    </row>
  </sheetData>
  <sheetProtection sheet="1" objects="1" scenarios="1"/>
  <phoneticPr fontId="0" type="noConversion"/>
  <pageMargins left="0.75" right="0.75" top="1" bottom="1" header="0.5" footer="0.5"/>
  <pageSetup orientation="portrait" horizontalDpi="4294967294" verticalDpi="4294967294"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22"/>
  <sheetViews>
    <sheetView showGridLines="0" topLeftCell="A7" workbookViewId="0"/>
  </sheetViews>
  <sheetFormatPr defaultColWidth="8" defaultRowHeight="13.2" x14ac:dyDescent="0.25"/>
  <cols>
    <col min="1" max="1" width="3.09765625" style="49" customWidth="1"/>
    <col min="2" max="2" width="10.3984375" style="49" customWidth="1"/>
    <col min="3" max="3" width="13" style="50" customWidth="1"/>
    <col min="4" max="4" width="10.19921875" style="50" customWidth="1"/>
    <col min="5" max="5" width="23.09765625" style="50" customWidth="1"/>
    <col min="6" max="6" width="47.69921875" style="50" customWidth="1"/>
    <col min="7" max="7" width="45.59765625" style="52" customWidth="1"/>
    <col min="8" max="8" width="20.19921875" style="49" bestFit="1" customWidth="1"/>
    <col min="9" max="9" width="14.3984375" style="49" bestFit="1" customWidth="1"/>
    <col min="10" max="10" width="5.19921875" style="49" bestFit="1" customWidth="1"/>
    <col min="11" max="11" width="7.19921875" style="49" bestFit="1" customWidth="1"/>
    <col min="12" max="12" width="9.09765625" style="49" customWidth="1"/>
    <col min="13" max="13" width="8.8984375" style="49" bestFit="1" customWidth="1"/>
    <col min="14" max="16384" width="8" style="49"/>
  </cols>
  <sheetData>
    <row r="2" spans="2:10" ht="22.8" x14ac:dyDescent="0.4">
      <c r="E2" s="51"/>
      <c r="F2" s="51"/>
    </row>
    <row r="3" spans="2:10" ht="22.8" x14ac:dyDescent="0.4">
      <c r="E3" s="51"/>
      <c r="F3" s="51"/>
    </row>
    <row r="4" spans="2:10" s="56" customFormat="1" ht="13.8" thickBot="1" x14ac:dyDescent="0.3">
      <c r="B4" s="88" t="s">
        <v>100</v>
      </c>
      <c r="C4" s="53" t="s">
        <v>82</v>
      </c>
      <c r="D4" s="53" t="s">
        <v>81</v>
      </c>
      <c r="E4" s="53" t="s">
        <v>56</v>
      </c>
      <c r="F4" s="54" t="s">
        <v>61</v>
      </c>
      <c r="G4" s="55"/>
      <c r="H4" s="55"/>
    </row>
    <row r="5" spans="2:10" ht="27" thickTop="1" x14ac:dyDescent="0.25">
      <c r="B5" s="57" t="s">
        <v>55</v>
      </c>
      <c r="C5" s="115">
        <v>0.6</v>
      </c>
      <c r="D5" s="115">
        <v>0.6</v>
      </c>
      <c r="E5" s="58" t="s">
        <v>63</v>
      </c>
      <c r="F5" s="58" t="s">
        <v>54</v>
      </c>
      <c r="G5" s="59"/>
      <c r="H5" s="52"/>
      <c r="I5" s="50"/>
    </row>
    <row r="6" spans="2:10" ht="52.8" x14ac:dyDescent="0.25">
      <c r="B6" s="60" t="s">
        <v>32</v>
      </c>
      <c r="C6" s="61" t="e">
        <f>C9*(((Wing!B25+'Cruiciform Tail'!D60)+(0.75*(Wing!C48+Wing!C50)))/Wing!C45)/C5</f>
        <v>#VALUE!</v>
      </c>
      <c r="D6" s="61" t="e">
        <f>D9*(((Wing!B25+'V-Tail'!D31)+(0.75*(Wing!C48+Wing!C50)))/Wing!C45)/D5</f>
        <v>#VALUE!</v>
      </c>
      <c r="E6" s="62" t="s">
        <v>65</v>
      </c>
      <c r="F6" s="63" t="s">
        <v>104</v>
      </c>
      <c r="G6" s="59"/>
      <c r="H6" s="64"/>
      <c r="I6" s="50"/>
      <c r="J6" s="65"/>
    </row>
    <row r="7" spans="2:10" ht="52.8" x14ac:dyDescent="0.25">
      <c r="B7" s="60" t="s">
        <v>33</v>
      </c>
      <c r="C7" s="66">
        <f>('Cruiciform Tail'!D21/Wing!C46)*((Wing!B21+'Cruiciform Tail'!D29)+(0.75*(Wing!C48+Wing!C50)))/Wing!C48</f>
        <v>0.18078946163356893</v>
      </c>
      <c r="D7" s="66" t="e">
        <f>('V-Tail CG'!C48/Wing!C46)*((Wing!B21+'V-Tail'!D31)+(0.75*(Wing!C48+Wing!C50)))/Wing!C48</f>
        <v>#DIV/0!</v>
      </c>
      <c r="E7" s="62" t="s">
        <v>62</v>
      </c>
      <c r="F7" s="63" t="s">
        <v>67</v>
      </c>
      <c r="G7" s="59"/>
      <c r="H7" s="64"/>
      <c r="I7" s="65"/>
    </row>
    <row r="8" spans="2:10" ht="39.6" x14ac:dyDescent="0.25">
      <c r="B8" s="60" t="s">
        <v>34</v>
      </c>
      <c r="C8" s="89">
        <f>('Cruiciform Tail'!D57/Wing!C46)*(((Wing!B25+'Cruiciform Tail'!D60)+(0.75*(Wing!C48+Wing!C50)))/Wing!C45)</f>
        <v>1.4398307404497395E-2</v>
      </c>
      <c r="D8" s="89" t="e">
        <f>('V-Tail CG'!C49/Wing!C46)*(((Wing!B21+'V-Tail'!D31)+(0.75*(Wing!C48+Wing!C50)))/Wing!C45)</f>
        <v>#DIV/0!</v>
      </c>
      <c r="E8" s="62" t="s">
        <v>64</v>
      </c>
      <c r="F8" s="63" t="s">
        <v>68</v>
      </c>
      <c r="G8" s="59"/>
      <c r="H8" s="64"/>
      <c r="I8" s="50"/>
    </row>
    <row r="9" spans="2:10" ht="26.4" x14ac:dyDescent="0.25">
      <c r="B9" s="60" t="s">
        <v>35</v>
      </c>
      <c r="C9" s="61" t="e">
        <f>((C19-C20)*(Wing!E41)+((C20-C21)*(Wing!G41)+((C21-C22)*(Wing!H41))))</f>
        <v>#VALUE!</v>
      </c>
      <c r="D9" s="61" t="e">
        <f>((C19-C20)*(Wing!E41)+((C20-C21)*(Wing!G41)+((C21-C22)*(Wing!H41))))</f>
        <v>#VALUE!</v>
      </c>
      <c r="E9" s="62" t="s">
        <v>66</v>
      </c>
      <c r="F9" s="63" t="s">
        <v>125</v>
      </c>
      <c r="G9" s="59"/>
      <c r="H9" s="64"/>
      <c r="I9" s="50"/>
    </row>
    <row r="10" spans="2:10" x14ac:dyDescent="0.25">
      <c r="B10" s="67"/>
      <c r="C10" s="68"/>
      <c r="D10" s="68"/>
      <c r="E10" s="69"/>
      <c r="F10" s="70"/>
      <c r="G10" s="70"/>
      <c r="H10" s="59"/>
      <c r="I10" s="64"/>
      <c r="J10" s="50"/>
    </row>
    <row r="11" spans="2:10" x14ac:dyDescent="0.25">
      <c r="B11" s="67"/>
      <c r="C11" s="68"/>
      <c r="D11" s="68"/>
      <c r="E11" s="69"/>
      <c r="F11" s="70"/>
      <c r="G11" s="70"/>
      <c r="H11" s="59"/>
      <c r="I11" s="64"/>
      <c r="J11" s="50"/>
    </row>
    <row r="12" spans="2:10" x14ac:dyDescent="0.25">
      <c r="B12" s="67"/>
      <c r="C12" s="71"/>
      <c r="D12" s="71"/>
      <c r="E12" s="70"/>
      <c r="F12" s="70"/>
      <c r="G12" s="70"/>
      <c r="H12" s="59"/>
      <c r="I12" s="64"/>
      <c r="J12" s="50"/>
    </row>
    <row r="13" spans="2:10" x14ac:dyDescent="0.25">
      <c r="B13" s="72" t="s">
        <v>57</v>
      </c>
      <c r="F13" s="65"/>
      <c r="G13" s="64"/>
      <c r="H13" s="52"/>
      <c r="I13" s="52"/>
      <c r="J13" s="50"/>
    </row>
    <row r="14" spans="2:10" x14ac:dyDescent="0.25">
      <c r="B14" s="50" t="s">
        <v>24</v>
      </c>
      <c r="C14" s="73">
        <f>0/(Wing!C17+Wing!F17+Wing!H17)</f>
        <v>0</v>
      </c>
      <c r="D14" s="73"/>
      <c r="G14" s="64"/>
      <c r="H14" s="52"/>
      <c r="I14" s="52"/>
    </row>
    <row r="15" spans="2:10" x14ac:dyDescent="0.25">
      <c r="B15" s="50" t="s">
        <v>25</v>
      </c>
      <c r="C15" s="73">
        <f>IF(Wing!C17=0,"0",(Wing!C17/(Wing!C17+Wing!F17+Wing!H17)))</f>
        <v>1</v>
      </c>
      <c r="D15" s="73"/>
      <c r="F15" s="65"/>
      <c r="G15" s="64"/>
    </row>
    <row r="16" spans="2:10" x14ac:dyDescent="0.25">
      <c r="B16" s="50" t="s">
        <v>26</v>
      </c>
      <c r="C16" s="73" t="str">
        <f>IF(Wing!F17=0,"0",(Wing!C17+Wing!F17)/(Wing!C17+Wing!F17+Wing!H17))</f>
        <v>0</v>
      </c>
      <c r="D16" s="73"/>
      <c r="F16" s="65"/>
      <c r="G16" s="64"/>
    </row>
    <row r="17" spans="2:7" x14ac:dyDescent="0.25">
      <c r="B17" s="50" t="s">
        <v>27</v>
      </c>
      <c r="C17" s="73" t="str">
        <f>IF(Wing!H17=0,"0",((Wing!C17+Wing!F17+Wing!H17)/(Wing!C17+Wing!F17+Wing!H17)))</f>
        <v>0</v>
      </c>
      <c r="D17" s="73"/>
      <c r="F17" s="65"/>
      <c r="G17" s="64"/>
    </row>
    <row r="18" spans="2:7" x14ac:dyDescent="0.25">
      <c r="B18" s="50"/>
    </row>
    <row r="19" spans="2:7" x14ac:dyDescent="0.25">
      <c r="B19" s="50" t="s">
        <v>28</v>
      </c>
      <c r="C19" s="65">
        <f>(1-C14^2)^1.5</f>
        <v>1</v>
      </c>
      <c r="D19" s="65"/>
    </row>
    <row r="20" spans="2:7" x14ac:dyDescent="0.25">
      <c r="B20" s="50" t="s">
        <v>29</v>
      </c>
      <c r="C20" s="65">
        <f>(1-C15^2)^1.5</f>
        <v>0</v>
      </c>
      <c r="D20" s="65"/>
    </row>
    <row r="21" spans="2:7" x14ac:dyDescent="0.25">
      <c r="B21" s="50" t="s">
        <v>30</v>
      </c>
      <c r="C21" s="65">
        <f>(1-C16^2)^1.5</f>
        <v>1</v>
      </c>
      <c r="D21" s="65"/>
    </row>
    <row r="22" spans="2:7" x14ac:dyDescent="0.25">
      <c r="B22" s="50" t="s">
        <v>31</v>
      </c>
      <c r="C22" s="65">
        <f>(1-C17^2)^1.5</f>
        <v>1</v>
      </c>
      <c r="D22" s="65"/>
    </row>
  </sheetData>
  <sheetProtection sheet="1" objects="1" scenarios="1"/>
  <phoneticPr fontId="1" type="noConversion"/>
  <pageMargins left="0.75" right="0.75" top="1" bottom="1" header="0.5" footer="0.5"/>
  <pageSetup orientation="portrait" horizontalDpi="4294967294" verticalDpi="4294967294"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5:B25"/>
  <sheetViews>
    <sheetView showGridLines="0" workbookViewId="0"/>
  </sheetViews>
  <sheetFormatPr defaultColWidth="9" defaultRowHeight="13.2" x14ac:dyDescent="0.25"/>
  <cols>
    <col min="1" max="1" width="3.59765625" style="106" customWidth="1"/>
    <col min="2" max="2" width="103.19921875" style="106" customWidth="1"/>
    <col min="3" max="16384" width="9" style="106"/>
  </cols>
  <sheetData>
    <row r="5" spans="2:2" x14ac:dyDescent="0.25">
      <c r="B5" s="108" t="s">
        <v>70</v>
      </c>
    </row>
    <row r="6" spans="2:2" ht="26.4" x14ac:dyDescent="0.25">
      <c r="B6" s="107" t="s">
        <v>75</v>
      </c>
    </row>
    <row r="7" spans="2:2" ht="14.25" customHeight="1" x14ac:dyDescent="0.25">
      <c r="B7" s="107"/>
    </row>
    <row r="8" spans="2:2" x14ac:dyDescent="0.25">
      <c r="B8" s="108" t="s">
        <v>71</v>
      </c>
    </row>
    <row r="9" spans="2:2" ht="26.25" customHeight="1" x14ac:dyDescent="0.25">
      <c r="B9" s="106" t="s">
        <v>76</v>
      </c>
    </row>
    <row r="11" spans="2:2" x14ac:dyDescent="0.25">
      <c r="B11" s="108" t="s">
        <v>72</v>
      </c>
    </row>
    <row r="12" spans="2:2" ht="26.4" x14ac:dyDescent="0.25">
      <c r="B12" s="106" t="s">
        <v>77</v>
      </c>
    </row>
    <row r="14" spans="2:2" x14ac:dyDescent="0.25">
      <c r="B14" s="108" t="s">
        <v>91</v>
      </c>
    </row>
    <row r="15" spans="2:2" x14ac:dyDescent="0.25">
      <c r="B15" s="106" t="s">
        <v>183</v>
      </c>
    </row>
    <row r="17" spans="2:2" x14ac:dyDescent="0.25">
      <c r="B17" s="108" t="s">
        <v>143</v>
      </c>
    </row>
    <row r="18" spans="2:2" ht="26.25" customHeight="1" x14ac:dyDescent="0.25">
      <c r="B18" s="106" t="s">
        <v>184</v>
      </c>
    </row>
    <row r="20" spans="2:2" x14ac:dyDescent="0.25">
      <c r="B20" s="108" t="s">
        <v>145</v>
      </c>
    </row>
    <row r="21" spans="2:2" ht="52.8" x14ac:dyDescent="0.25">
      <c r="B21" s="106" t="s">
        <v>144</v>
      </c>
    </row>
    <row r="22" spans="2:2" x14ac:dyDescent="0.25">
      <c r="B22" s="106" t="s">
        <v>108</v>
      </c>
    </row>
    <row r="23" spans="2:2" ht="26.4" x14ac:dyDescent="0.25">
      <c r="B23" s="106" t="s">
        <v>101</v>
      </c>
    </row>
    <row r="24" spans="2:2" x14ac:dyDescent="0.25">
      <c r="B24" s="106" t="s">
        <v>188</v>
      </c>
    </row>
    <row r="25" spans="2:2" x14ac:dyDescent="0.25">
      <c r="B25" s="106" t="s">
        <v>146</v>
      </c>
    </row>
  </sheetData>
  <sheetProtection sheet="1" objects="1" scenarios="1"/>
  <phoneticPr fontId="0" type="noConversion"/>
  <pageMargins left="0.75" right="0.75" top="1" bottom="1" header="0.5" footer="0.5"/>
  <pageSetup orientation="portrait" horizontalDpi="4294967294" verticalDpi="429496729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Instructions</vt:lpstr>
      <vt:lpstr>Wing</vt:lpstr>
      <vt:lpstr>Cruiciform Tail</vt:lpstr>
      <vt:lpstr>Cruciform Tail CG</vt:lpstr>
      <vt:lpstr>V-Tail</vt:lpstr>
      <vt:lpstr>V-Tail CG</vt:lpstr>
      <vt:lpstr>Quick V-Tail Sizing</vt:lpstr>
      <vt:lpstr>Tail Sizing Checks</vt:lpstr>
      <vt:lpstr>Credits</vt:lpstr>
      <vt:lpstr>Glossary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Suter</dc:creator>
  <cp:lastModifiedBy>Tomasz Schneider</cp:lastModifiedBy>
  <dcterms:created xsi:type="dcterms:W3CDTF">2004-12-22T19:40:07Z</dcterms:created>
  <dcterms:modified xsi:type="dcterms:W3CDTF">2024-05-14T11:05:55Z</dcterms:modified>
</cp:coreProperties>
</file>