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RWD\Downloads\"/>
    </mc:Choice>
  </mc:AlternateContent>
  <xr:revisionPtr revIDLastSave="0" documentId="13_ncr:1_{816BAFD4-4CEB-486E-B376-79FF83A91E0D}" xr6:coauthVersionLast="47" xr6:coauthVersionMax="47" xr10:uidLastSave="{00000000-0000-0000-0000-000000000000}"/>
  <workbookProtection workbookPassword="DE37" lockStructure="1"/>
  <bookViews>
    <workbookView xWindow="-120" yWindow="-120" windowWidth="20730" windowHeight="11160" tabRatio="763" activeTab="4" xr2:uid="{00000000-000D-0000-FFFF-FFFF00000000}"/>
  </bookViews>
  <sheets>
    <sheet name="Instructions" sheetId="7942" r:id="rId1"/>
    <sheet name="Wing" sheetId="1" r:id="rId2"/>
    <sheet name="Horizontal Stabilizer" sheetId="2" r:id="rId3"/>
    <sheet name="Vertical Stabilizer" sheetId="7954" r:id="rId4"/>
    <sheet name="Balance Point" sheetId="7949" r:id="rId5"/>
    <sheet name="Wing Dihedral" sheetId="7953" r:id="rId6"/>
    <sheet name="Tail Sizing Checks" sheetId="7940" r:id="rId7"/>
    <sheet name="Results" sheetId="7955" r:id="rId8"/>
    <sheet name="Glossary" sheetId="7952" r:id="rId9"/>
    <sheet name="Credits" sheetId="7943" r:id="rId10"/>
    <sheet name="Links" sheetId="7957" r:id="rId11"/>
  </sheets>
  <definedNames>
    <definedName name="g" localSheetId="8">Glossary!#REF!</definedName>
    <definedName name="_xlnm.Print_Area" localSheetId="4">'Balance Point'!$A$1:$K$42</definedName>
    <definedName name="_xlnm.Print_Area" localSheetId="6">'Tail Sizing Checks'!$A$1:$G$13</definedName>
    <definedName name="_xlnm.Print_Area" localSheetId="1">Wing!$A$1:$N$50</definedName>
  </definedNames>
  <calcPr calcId="181029"/>
</workbook>
</file>

<file path=xl/calcChain.xml><?xml version="1.0" encoding="utf-8"?>
<calcChain xmlns="http://schemas.openxmlformats.org/spreadsheetml/2006/main">
  <c r="E49" i="7949" l="1"/>
  <c r="C43" i="7955" l="1"/>
  <c r="C56" i="7955" l="1"/>
  <c r="I15" i="7953"/>
  <c r="C42" i="7953" l="1"/>
  <c r="G53" i="1"/>
  <c r="D55" i="7954"/>
  <c r="D47" i="7954"/>
  <c r="D26" i="2"/>
  <c r="C22" i="7940"/>
  <c r="C28" i="7940" s="1"/>
  <c r="C21" i="7940"/>
  <c r="C27" i="7940" s="1"/>
  <c r="C20" i="7940"/>
  <c r="C26" i="7940" s="1"/>
  <c r="C19" i="7940"/>
  <c r="C18" i="7940"/>
  <c r="C24" i="7940" s="1"/>
  <c r="D52" i="7954"/>
  <c r="D54" i="7954" s="1"/>
  <c r="D56" i="7954" s="1"/>
  <c r="C37" i="7955" s="1"/>
  <c r="E37" i="7955" s="1"/>
  <c r="D44" i="7954"/>
  <c r="D32" i="2"/>
  <c r="D25" i="2" s="1"/>
  <c r="C90" i="1"/>
  <c r="C80" i="1"/>
  <c r="C70" i="1"/>
  <c r="C60" i="1"/>
  <c r="C61" i="1"/>
  <c r="C71" i="1"/>
  <c r="C81" i="1"/>
  <c r="C91" i="1"/>
  <c r="C35" i="1"/>
  <c r="C96" i="1"/>
  <c r="D45" i="7954"/>
  <c r="D34" i="7954"/>
  <c r="C32" i="7955" s="1"/>
  <c r="E32" i="7955" s="1"/>
  <c r="D53" i="7954"/>
  <c r="D23" i="2"/>
  <c r="D33" i="2"/>
  <c r="G24" i="1"/>
  <c r="C15" i="7949"/>
  <c r="B15" i="7949"/>
  <c r="G25" i="1"/>
  <c r="I23" i="1" s="1"/>
  <c r="J24" i="1"/>
  <c r="F15" i="7949" s="1"/>
  <c r="H24" i="1"/>
  <c r="J23" i="1" s="1"/>
  <c r="F14" i="7949" s="1"/>
  <c r="F25" i="1"/>
  <c r="H23" i="1"/>
  <c r="D14" i="7949"/>
  <c r="C14" i="7949"/>
  <c r="B14" i="7949"/>
  <c r="D49" i="7954"/>
  <c r="D57" i="7954"/>
  <c r="D36" i="2"/>
  <c r="C84" i="1"/>
  <c r="C94" i="1"/>
  <c r="C74" i="1"/>
  <c r="C64" i="1"/>
  <c r="C92" i="1"/>
  <c r="C95" i="1"/>
  <c r="C82" i="1"/>
  <c r="C85" i="1" s="1"/>
  <c r="C62" i="1"/>
  <c r="C65" i="1"/>
  <c r="C72" i="1"/>
  <c r="C75" i="1" s="1"/>
  <c r="C63" i="1"/>
  <c r="C73" i="1"/>
  <c r="C83" i="1"/>
  <c r="C93" i="1"/>
  <c r="F19" i="7954"/>
  <c r="G18" i="7954"/>
  <c r="F17" i="7954"/>
  <c r="F18" i="7954" s="1"/>
  <c r="G17" i="7954"/>
  <c r="F15" i="7954"/>
  <c r="G14" i="7954"/>
  <c r="F13" i="7954"/>
  <c r="F14" i="7954" s="1"/>
  <c r="G13" i="7954"/>
  <c r="C25" i="7953"/>
  <c r="C26" i="7953"/>
  <c r="C27" i="7953"/>
  <c r="J25" i="1"/>
  <c r="L26" i="1" s="1"/>
  <c r="H17" i="7949" s="1"/>
  <c r="L25" i="1"/>
  <c r="H16" i="7949"/>
  <c r="L24" i="1"/>
  <c r="H15" i="7949" s="1"/>
  <c r="C24" i="7953"/>
  <c r="C18" i="7949"/>
  <c r="B18" i="7949"/>
  <c r="H25" i="1"/>
  <c r="D16" i="7949" s="1"/>
  <c r="F26" i="1"/>
  <c r="H26" i="1" s="1"/>
  <c r="D17" i="7949" s="1"/>
  <c r="H15" i="2"/>
  <c r="H16" i="2"/>
  <c r="I15" i="2"/>
  <c r="I16" i="2" s="1"/>
  <c r="I14" i="2"/>
  <c r="D15" i="7949"/>
  <c r="C22" i="7955"/>
  <c r="E22" i="7955"/>
  <c r="C97" i="1"/>
  <c r="C25" i="7940"/>
  <c r="B16" i="7949"/>
  <c r="C8" i="7955"/>
  <c r="E8" i="7955" s="1"/>
  <c r="D37" i="7954" l="1"/>
  <c r="D36" i="7954"/>
  <c r="D35" i="7954" s="1"/>
  <c r="C33" i="7955" s="1"/>
  <c r="E33" i="7955" s="1"/>
  <c r="D46" i="7954"/>
  <c r="D48" i="7954" s="1"/>
  <c r="C36" i="7955" s="1"/>
  <c r="E36" i="7955" s="1"/>
  <c r="D24" i="2"/>
  <c r="C23" i="7955" s="1"/>
  <c r="E23" i="7955" s="1"/>
  <c r="D28" i="2"/>
  <c r="C26" i="7955" s="1"/>
  <c r="E26" i="7955" s="1"/>
  <c r="D27" i="2"/>
  <c r="C24" i="7955"/>
  <c r="E24" i="7955" s="1"/>
  <c r="D34" i="2"/>
  <c r="D35" i="2" s="1"/>
  <c r="C28" i="7955" s="1"/>
  <c r="E28" i="7955" s="1"/>
  <c r="I19" i="2"/>
  <c r="F16" i="7949"/>
  <c r="J26" i="1"/>
  <c r="F17" i="7949" s="1"/>
  <c r="B17" i="7949"/>
  <c r="L23" i="1"/>
  <c r="H14" i="7949" s="1"/>
  <c r="C38" i="1"/>
  <c r="C11" i="7955" s="1"/>
  <c r="E11" i="7955" s="1"/>
  <c r="C16" i="7949"/>
  <c r="E42" i="7953"/>
  <c r="G42" i="7953" s="1"/>
  <c r="C44" i="1"/>
  <c r="E14" i="7949"/>
  <c r="I24" i="1"/>
  <c r="C39" i="1"/>
  <c r="G26" i="1"/>
  <c r="C40" i="1"/>
  <c r="C36" i="1"/>
  <c r="D40" i="7954" l="1"/>
  <c r="D41" i="7954" s="1"/>
  <c r="F22" i="7954" s="1"/>
  <c r="C34" i="7955"/>
  <c r="E34" i="7955" s="1"/>
  <c r="D38" i="7954"/>
  <c r="C35" i="7955" s="1"/>
  <c r="E35" i="7955" s="1"/>
  <c r="D29" i="2"/>
  <c r="C27" i="7955" s="1"/>
  <c r="E27" i="7955" s="1"/>
  <c r="C25" i="7955"/>
  <c r="E25" i="7955" s="1"/>
  <c r="C57" i="7949"/>
  <c r="G47" i="1"/>
  <c r="C41" i="1"/>
  <c r="C14" i="7955" s="1"/>
  <c r="E14" i="7955" s="1"/>
  <c r="E15" i="7953"/>
  <c r="C66" i="1"/>
  <c r="C67" i="1" s="1"/>
  <c r="D24" i="7953"/>
  <c r="G15" i="7953"/>
  <c r="C76" i="1"/>
  <c r="I42" i="7953"/>
  <c r="C58" i="7949"/>
  <c r="C13" i="7955"/>
  <c r="E13" i="7955" s="1"/>
  <c r="I25" i="1"/>
  <c r="K23" i="1"/>
  <c r="E15" i="7949"/>
  <c r="D39" i="7954"/>
  <c r="C38" i="7955" s="1"/>
  <c r="E38" i="7955" s="1"/>
  <c r="C17" i="7949"/>
  <c r="I26" i="1"/>
  <c r="E17" i="7949" s="1"/>
  <c r="F31" i="1"/>
  <c r="F32" i="1"/>
  <c r="B24" i="7949" s="1"/>
  <c r="C37" i="1"/>
  <c r="C9" i="7955"/>
  <c r="E9" i="7955" s="1"/>
  <c r="C42" i="1"/>
  <c r="G52" i="1"/>
  <c r="G54" i="1" s="1"/>
  <c r="C12" i="7955"/>
  <c r="E12" i="7955" s="1"/>
  <c r="C39" i="7955" l="1"/>
  <c r="E39" i="7955" s="1"/>
  <c r="H15" i="7953"/>
  <c r="C86" i="1"/>
  <c r="C87" i="1" s="1"/>
  <c r="C77" i="1"/>
  <c r="D25" i="7953"/>
  <c r="C43" i="1"/>
  <c r="K26" i="1"/>
  <c r="G17" i="7949" s="1"/>
  <c r="E16" i="7949"/>
  <c r="C10" i="7955"/>
  <c r="E10" i="7955" s="1"/>
  <c r="G58" i="1"/>
  <c r="G59" i="1" s="1"/>
  <c r="G60" i="1" s="1"/>
  <c r="J29" i="1"/>
  <c r="B23" i="7949"/>
  <c r="F21" i="7949" s="1"/>
  <c r="K24" i="1"/>
  <c r="G14" i="7949"/>
  <c r="C60" i="7949"/>
  <c r="C59" i="7949"/>
  <c r="D26" i="7953" l="1"/>
  <c r="D27" i="7953" s="1"/>
  <c r="C11" i="7940"/>
  <c r="C51" i="7955" s="1"/>
  <c r="C49" i="1"/>
  <c r="C47" i="1"/>
  <c r="G15" i="7949"/>
  <c r="M23" i="1"/>
  <c r="K25" i="1"/>
  <c r="C40" i="7955"/>
  <c r="E40" i="7955" s="1"/>
  <c r="C29" i="7955"/>
  <c r="E29" i="7955" s="1"/>
  <c r="G29" i="1"/>
  <c r="C15" i="7955"/>
  <c r="E15" i="7955" s="1"/>
  <c r="C55" i="7949"/>
  <c r="C56" i="7949" s="1"/>
  <c r="C61" i="7949" s="1"/>
  <c r="C51" i="1" l="1"/>
  <c r="C19" i="7955" s="1"/>
  <c r="E19" i="7955" s="1"/>
  <c r="C7" i="7940"/>
  <c r="C48" i="1"/>
  <c r="C9" i="7940" s="1"/>
  <c r="C47" i="7955" s="1"/>
  <c r="C16" i="7955"/>
  <c r="E16" i="7955" s="1"/>
  <c r="I30" i="1"/>
  <c r="J30" i="1"/>
  <c r="G31" i="1"/>
  <c r="G16" i="7949"/>
  <c r="M26" i="1"/>
  <c r="I17" i="7949" s="1"/>
  <c r="I14" i="7949"/>
  <c r="M24" i="1"/>
  <c r="E39" i="7949"/>
  <c r="D39" i="7949" s="1"/>
  <c r="C54" i="7955" s="1"/>
  <c r="E40" i="7949"/>
  <c r="D40" i="7949" s="1"/>
  <c r="E47" i="7949"/>
  <c r="C62" i="7949"/>
  <c r="C63" i="7949" s="1"/>
  <c r="C21" i="7949" s="1"/>
  <c r="C50" i="1" l="1"/>
  <c r="C18" i="7955" s="1"/>
  <c r="E18" i="7955" s="1"/>
  <c r="C8" i="7940"/>
  <c r="C45" i="7955" s="1"/>
  <c r="C17" i="7955"/>
  <c r="E17" i="7955" s="1"/>
  <c r="C10" i="7940"/>
  <c r="C49" i="7955" s="1"/>
  <c r="M25" i="1"/>
  <c r="I16" i="7949" s="1"/>
  <c r="I15" i="7949"/>
  <c r="C39" i="7949"/>
  <c r="C57" i="7955"/>
  <c r="C20" i="7949"/>
  <c r="G32" i="1"/>
  <c r="C24" i="7949" s="1"/>
  <c r="C23" i="7949"/>
  <c r="F22" i="7949"/>
  <c r="E22" i="79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Curtis Suter</author>
    <author>Curtis</author>
  </authors>
  <commentList>
    <comment ref="C11" authorId="0" shapeId="0" xr:uid="{00000000-0006-0000-0100-000001000000}">
      <text>
        <r>
          <rPr>
            <b/>
            <sz val="10"/>
            <color indexed="81"/>
            <rFont val="Tahoma"/>
            <family val="2"/>
          </rPr>
          <t>Measure from Root Leading Edge.</t>
        </r>
        <r>
          <rPr>
            <sz val="8"/>
            <color indexed="81"/>
            <rFont val="Tahoma"/>
            <family val="2"/>
          </rPr>
          <t xml:space="preserve">
</t>
        </r>
      </text>
    </comment>
    <comment ref="F11" authorId="0" shapeId="0" xr:uid="{00000000-0006-0000-0100-000002000000}">
      <text>
        <r>
          <rPr>
            <b/>
            <sz val="10"/>
            <color indexed="81"/>
            <rFont val="Tahoma"/>
            <family val="2"/>
          </rPr>
          <t>Measure from Root of this panel.</t>
        </r>
      </text>
    </comment>
    <comment ref="H11" authorId="0" shapeId="0" xr:uid="{00000000-0006-0000-0100-000003000000}">
      <text>
        <r>
          <rPr>
            <b/>
            <sz val="10"/>
            <color indexed="81"/>
            <rFont val="Tahoma"/>
            <family val="2"/>
          </rPr>
          <t>Measure from Root of this panel.</t>
        </r>
      </text>
    </comment>
    <comment ref="J12" authorId="1" shapeId="0" xr:uid="{00000000-0006-0000-0100-000004000000}">
      <text>
        <r>
          <rPr>
            <b/>
            <sz val="10"/>
            <color indexed="81"/>
            <rFont val="Tahoma"/>
            <family val="2"/>
          </rPr>
          <t>Measured from Root of this Panel.</t>
        </r>
      </text>
    </comment>
    <comment ref="C42" authorId="0" shapeId="0" xr:uid="{00000000-0006-0000-0100-000005000000}">
      <text>
        <r>
          <rPr>
            <b/>
            <sz val="10"/>
            <color indexed="81"/>
            <rFont val="Tahoma"/>
            <family val="2"/>
          </rPr>
          <t>Measured aft from Leading edge at wing root.</t>
        </r>
      </text>
    </comment>
    <comment ref="C43" authorId="0" shapeId="0" xr:uid="{00000000-0006-0000-0100-000006000000}">
      <text>
        <r>
          <rPr>
            <b/>
            <sz val="10"/>
            <color indexed="81"/>
            <rFont val="Tahoma"/>
            <family val="2"/>
          </rPr>
          <t>Measured aft from Leading edge at wing root.</t>
        </r>
        <r>
          <rPr>
            <sz val="8"/>
            <color indexed="81"/>
            <rFont val="Tahoma"/>
            <family val="2"/>
          </rPr>
          <t xml:space="preserve">
</t>
        </r>
      </text>
    </comment>
    <comment ref="B46" authorId="1" shapeId="0" xr:uid="{00000000-0006-0000-0100-000007000000}">
      <text>
        <r>
          <rPr>
            <b/>
            <sz val="10"/>
            <color indexed="81"/>
            <rFont val="Tahoma"/>
            <family val="2"/>
          </rPr>
          <t xml:space="preserve">These results are how the wing is actually seen in flight if your wing has Dihedral.
</t>
        </r>
        <r>
          <rPr>
            <b/>
            <i/>
            <sz val="10"/>
            <color indexed="81"/>
            <rFont val="Tahoma"/>
            <family val="2"/>
          </rPr>
          <t>Note:</t>
        </r>
        <r>
          <rPr>
            <b/>
            <sz val="10"/>
            <color indexed="81"/>
            <rFont val="Tahoma"/>
            <family val="2"/>
          </rPr>
          <t xml:space="preserve">  The Dihedral Tab must be completed.</t>
        </r>
      </text>
    </comment>
    <comment ref="G47" authorId="1" shapeId="0" xr:uid="{00000000-0006-0000-0100-000008000000}">
      <text>
        <r>
          <rPr>
            <b/>
            <sz val="9"/>
            <color indexed="81"/>
            <rFont val="Tahoma"/>
            <family val="2"/>
          </rPr>
          <t>Standard Day:
- 59 degrees Farenheit
- Sea Level Altitude
- Barometric Pressure 29.92 in hg</t>
        </r>
        <r>
          <rPr>
            <sz val="9"/>
            <color indexed="81"/>
            <rFont val="Tahoma"/>
            <family val="2"/>
          </rPr>
          <t xml:space="preserve">
</t>
        </r>
      </text>
    </comment>
    <comment ref="G52" authorId="1" shapeId="0" xr:uid="{00000000-0006-0000-0100-000009000000}">
      <text>
        <r>
          <rPr>
            <b/>
            <sz val="9"/>
            <color indexed="81"/>
            <rFont val="Tahoma"/>
            <family val="2"/>
          </rPr>
          <t>Affected by Weight, Total Wing Area and Speed above.
Assumed Standard Density at Sea Level</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Curtis Suter</author>
  </authors>
  <commentList>
    <comment ref="C11" authorId="0" shapeId="0" xr:uid="{00000000-0006-0000-0200-000001000000}">
      <text>
        <r>
          <rPr>
            <b/>
            <sz val="8"/>
            <color indexed="81"/>
            <rFont val="Tahoma"/>
            <family val="2"/>
          </rPr>
          <t>Measured from root leading edge.</t>
        </r>
        <r>
          <rPr>
            <sz val="8"/>
            <color indexed="81"/>
            <rFont val="Tahoma"/>
            <family val="2"/>
          </rPr>
          <t xml:space="preserve">
</t>
        </r>
      </text>
    </comment>
    <comment ref="D33" authorId="0" shapeId="0" xr:uid="{00000000-0006-0000-0200-000002000000}">
      <text>
        <r>
          <rPr>
            <b/>
            <sz val="8"/>
            <color indexed="81"/>
            <rFont val="Tahoma"/>
            <family val="2"/>
          </rPr>
          <t>Measured aft from Leading edge at wing root.</t>
        </r>
        <r>
          <rPr>
            <sz val="8"/>
            <color indexed="81"/>
            <rFont val="Tahoma"/>
            <family val="2"/>
          </rPr>
          <t xml:space="preserve">
</t>
        </r>
      </text>
    </comment>
    <comment ref="D34" authorId="0" shapeId="0" xr:uid="{00000000-0006-0000-0200-000003000000}">
      <text>
        <r>
          <rPr>
            <b/>
            <sz val="8"/>
            <color indexed="81"/>
            <rFont val="Tahoma"/>
            <family val="2"/>
          </rPr>
          <t>Measured aft from Leading edge at wing root.</t>
        </r>
        <r>
          <rPr>
            <sz val="8"/>
            <color indexed="81"/>
            <rFont val="Tahoma"/>
            <family val="2"/>
          </rPr>
          <t xml:space="preserve">
</t>
        </r>
      </text>
    </comment>
    <comment ref="D35" authorId="0" shapeId="0" xr:uid="{00000000-0006-0000-0200-000004000000}">
      <text>
        <r>
          <rPr>
            <b/>
            <sz val="8"/>
            <color indexed="81"/>
            <rFont val="Tahoma"/>
            <family val="2"/>
          </rPr>
          <t>Measured aft from Leading edge at wing root.</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Curtis Suter</author>
  </authors>
  <commentList>
    <comment ref="D40" authorId="0" shapeId="0" xr:uid="{00000000-0006-0000-0300-000001000000}">
      <text>
        <r>
          <rPr>
            <b/>
            <sz val="8"/>
            <color indexed="81"/>
            <rFont val="Tahoma"/>
            <family val="2"/>
          </rPr>
          <t>Measured aft from Leading edge at wing root.</t>
        </r>
        <r>
          <rPr>
            <sz val="8"/>
            <color indexed="81"/>
            <rFont val="Tahoma"/>
            <family val="2"/>
          </rPr>
          <t xml:space="preserve">
</t>
        </r>
      </text>
    </comment>
    <comment ref="D41" authorId="0" shapeId="0" xr:uid="{00000000-0006-0000-0300-000002000000}">
      <text>
        <r>
          <rPr>
            <b/>
            <sz val="8"/>
            <color indexed="81"/>
            <rFont val="Tahoma"/>
            <family val="2"/>
          </rPr>
          <t>Measured aft from Leading edge at wing root.</t>
        </r>
        <r>
          <rPr>
            <sz val="8"/>
            <color indexed="81"/>
            <rFont val="Tahoma"/>
            <family val="2"/>
          </rPr>
          <t xml:space="preserve">
</t>
        </r>
      </text>
    </comment>
    <comment ref="D45" authorId="0" shapeId="0" xr:uid="{00000000-0006-0000-0300-000003000000}">
      <text>
        <r>
          <rPr>
            <b/>
            <sz val="8"/>
            <color indexed="81"/>
            <rFont val="Tahoma"/>
            <family val="2"/>
          </rPr>
          <t>Measured aft from Leading edge at wing root.</t>
        </r>
        <r>
          <rPr>
            <sz val="8"/>
            <color indexed="81"/>
            <rFont val="Tahoma"/>
            <family val="2"/>
          </rPr>
          <t xml:space="preserve">
</t>
        </r>
      </text>
    </comment>
    <comment ref="D53" authorId="0" shapeId="0" xr:uid="{00000000-0006-0000-0300-000004000000}">
      <text>
        <r>
          <rPr>
            <b/>
            <sz val="8"/>
            <color indexed="81"/>
            <rFont val="Tahoma"/>
            <family val="2"/>
          </rPr>
          <t>Measured aft from Leading edge at wing root.</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Curtis Suter</author>
    <author>Curtis</author>
  </authors>
  <commentList>
    <comment ref="B37" authorId="0" shapeId="0" xr:uid="{00000000-0006-0000-0400-000001000000}">
      <text>
        <r>
          <rPr>
            <b/>
            <sz val="10"/>
            <color indexed="81"/>
            <rFont val="Tahoma"/>
            <family val="2"/>
          </rPr>
          <t>Must be entered to determine a CG location.</t>
        </r>
      </text>
    </comment>
    <comment ref="C37" authorId="0" shapeId="0" xr:uid="{00000000-0006-0000-0400-000002000000}">
      <text>
        <r>
          <rPr>
            <b/>
            <sz val="10"/>
            <color indexed="81"/>
            <rFont val="Tahoma"/>
            <family val="2"/>
          </rPr>
          <t>This must be estimated: 
- Approximately 0.9 for a T-tail 
- Approximately 0.6 Cruciform tail</t>
        </r>
        <r>
          <rPr>
            <sz val="8"/>
            <color indexed="81"/>
            <rFont val="Tahoma"/>
            <family val="2"/>
          </rPr>
          <t xml:space="preserve">
</t>
        </r>
      </text>
    </comment>
    <comment ref="D38" authorId="1" shapeId="0" xr:uid="{00000000-0006-0000-0400-000003000000}">
      <text>
        <r>
          <rPr>
            <b/>
            <sz val="10"/>
            <color indexed="81"/>
            <rFont val="Tahoma"/>
            <family val="2"/>
          </rPr>
          <t>Measured aft from from Root Leading Edge.</t>
        </r>
        <r>
          <rPr>
            <sz val="8"/>
            <color indexed="81"/>
            <rFont val="Tahoma"/>
            <family val="2"/>
          </rPr>
          <t xml:space="preserve">
</t>
        </r>
      </text>
    </comment>
    <comment ref="D39" authorId="0" shapeId="0" xr:uid="{00000000-0006-0000-0400-000004000000}">
      <text>
        <r>
          <rPr>
            <b/>
            <sz val="10"/>
            <color indexed="81"/>
            <rFont val="Tahoma"/>
            <family val="2"/>
          </rPr>
          <t xml:space="preserve">Measured aft from from Root Leading Edge.
This is the </t>
        </r>
        <r>
          <rPr>
            <b/>
            <sz val="10"/>
            <color indexed="10"/>
            <rFont val="Tahoma"/>
            <family val="2"/>
          </rPr>
          <t>RED</t>
        </r>
        <r>
          <rPr>
            <b/>
            <sz val="10"/>
            <color indexed="81"/>
            <rFont val="Tahoma"/>
            <family val="2"/>
          </rPr>
          <t xml:space="preserve"> triangle.</t>
        </r>
      </text>
    </comment>
    <comment ref="D40" authorId="1" shapeId="0" xr:uid="{00000000-0006-0000-0400-000005000000}">
      <text>
        <r>
          <rPr>
            <b/>
            <sz val="10"/>
            <color indexed="81"/>
            <rFont val="Tahoma"/>
            <family val="2"/>
          </rPr>
          <t>This is the</t>
        </r>
        <r>
          <rPr>
            <b/>
            <sz val="10"/>
            <color indexed="12"/>
            <rFont val="Tahoma"/>
            <family val="2"/>
          </rPr>
          <t xml:space="preserve"> BLUE</t>
        </r>
        <r>
          <rPr>
            <b/>
            <sz val="10"/>
            <color indexed="81"/>
            <rFont val="Tahoma"/>
            <family val="2"/>
          </rPr>
          <t xml:space="preserve"> dash on the graph.</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Curtis</author>
  </authors>
  <commentList>
    <comment ref="B17" authorId="0" shapeId="0" xr:uid="{00000000-0006-0000-0600-000001000000}">
      <text>
        <r>
          <rPr>
            <b/>
            <sz val="8"/>
            <color indexed="81"/>
            <rFont val="Tahoma"/>
            <family val="2"/>
          </rPr>
          <t>By Mark Drela at Yahoo Groups.
Close. It's a weighted average of the individual panel dihedral
angles. The necessary weighting factors were derived by Blaine
Rawdon. It's easy to implement in a spreadsheet as follows.
Lets say a wing half has three panels, like on the BubbleDancer or the
Majestic. The three panels are defined by four panel break stations
at four spanwise y locations y0,y1,y2,y3:
panel 1: y0 .. y1 , dihedral = d1
panel 2: y1 .. y2 , dihedral = d2
panel 3: y2 .. y3 , dihedral = d3
In a spreadsheet, it would only be necessary to input y1,y2,y3, since
y0 is always zero. Each panel's dihedral angle d1,d2,d3 is measured
from the horizontal plane. For the BD, these are
d1 = 0 deg
d2 = 10 deg
d3 = 20 deg
We now determine the fractional y locations, called "eta" by
convention. The BD has panel breaks at y=0,18,42,60" spanwise
locations, giving the following eta values:
eta0 = 0/60 = 0.0
eta1 = 18/60 = 0.30
eta2 = 42/60 = 0.70
eta3 = 60/60 = 1.0
We now compute a Blaine's weighting function f = (1 - eta^2)^1.5 for
each eta. For the BD these are:
f0 = 1.000
f1 = 0.868
f2 = 0.364
f3 = 0.000
The Equivalent Dihedral Angle (EDA) is finally computed as follows:
EDA = (f0-f1)*d1 + (f1-f2)*d2 + (f2-f3)*d3
For the BD this works out to
EDA = (1.000-0.868)*0 + (0.868-0.364)*10 + (0.364-0.000)*20 = 12.3</t>
        </r>
      </text>
    </comment>
  </commentList>
</comments>
</file>

<file path=xl/sharedStrings.xml><?xml version="1.0" encoding="utf-8"?>
<sst xmlns="http://schemas.openxmlformats.org/spreadsheetml/2006/main" count="648" uniqueCount="424">
  <si>
    <t>Span</t>
  </si>
  <si>
    <t>Chord</t>
  </si>
  <si>
    <t>Root Chord</t>
  </si>
  <si>
    <t>% MAC</t>
  </si>
  <si>
    <t>Panel 1 Results</t>
  </si>
  <si>
    <t>Panel 2 Results</t>
  </si>
  <si>
    <t xml:space="preserve">  Area (dS1)</t>
  </si>
  <si>
    <t xml:space="preserve">  Area (dS2)</t>
  </si>
  <si>
    <t xml:space="preserve">  25% MAC  (x1) from R.L.E.</t>
  </si>
  <si>
    <t xml:space="preserve">  Total Span</t>
  </si>
  <si>
    <t xml:space="preserve">  Total Area</t>
  </si>
  <si>
    <t xml:space="preserve">  Wing Loading</t>
  </si>
  <si>
    <t xml:space="preserve">  Mean Chord (area/span)</t>
  </si>
  <si>
    <t xml:space="preserve">  Location of 0% point</t>
  </si>
  <si>
    <t xml:space="preserve">  Location of 25% point</t>
  </si>
  <si>
    <t>eta0</t>
  </si>
  <si>
    <t>eta1</t>
  </si>
  <si>
    <t>eta2</t>
  </si>
  <si>
    <t>eta3</t>
  </si>
  <si>
    <t>f0</t>
  </si>
  <si>
    <t>f1</t>
  </si>
  <si>
    <t>f2</t>
  </si>
  <si>
    <t>f3</t>
  </si>
  <si>
    <t>Upper Panel Results</t>
  </si>
  <si>
    <t>Lower Panel Results</t>
  </si>
  <si>
    <t>Panel 3 Results</t>
  </si>
  <si>
    <t xml:space="preserve">  Area (dS3)</t>
  </si>
  <si>
    <t xml:space="preserve">  25% MAC  (x2) from R.L.E.</t>
  </si>
  <si>
    <t xml:space="preserve">  25% MAC  (x3) from R.L.E.</t>
  </si>
  <si>
    <t xml:space="preserve">  Wing Aspect Ratio</t>
  </si>
  <si>
    <t>Dihedral</t>
  </si>
  <si>
    <t>Suggested Sizes</t>
  </si>
  <si>
    <t>Required Calculations, please ignore.</t>
  </si>
  <si>
    <t>Distance from Wing Trailing Edge to Stab Leading Edge</t>
  </si>
  <si>
    <t>Distance from Wing Trailing Edge to Fin Leading Edge</t>
  </si>
  <si>
    <t>0.3 - 0.6</t>
  </si>
  <si>
    <t>Degrees</t>
  </si>
  <si>
    <t>Herk Stokely</t>
  </si>
  <si>
    <t>Martin Simons</t>
  </si>
  <si>
    <t>Mark Drela</t>
  </si>
  <si>
    <t>Wing Tab</t>
  </si>
  <si>
    <t>What does it do?</t>
  </si>
  <si>
    <t xml:space="preserve">  I've never met Herk in person but he helped me understand terms such as the Mean Aerodynamic Chord, Static Margin etc. Thanks so much to Herk for all his excellent knowledge and patience with my numerous questions.</t>
  </si>
  <si>
    <t xml:space="preserve">  Martin's book "Model Aircraft Aerodynamics" is a must read for any model airplane designer or wanting to understand more about aerodynamics.  This is where I obtained all the formulas for the spreadsheet except for the Tail Sizing Checks that I obtained from Mark Drela.</t>
  </si>
  <si>
    <t xml:space="preserve">  Mark wrote an article on Tail Sizing Checks and I used his formulas for this part of the spreadsheet. It can be found at: http://www.b2streamlines.com/ (Aug 2004 Issue), free for download thanks to Radio Controlled Soaring Digests.   </t>
  </si>
  <si>
    <t xml:space="preserve">  If trying to determine the proper sizing of a your tails, proper tail moments (lengths) or the proper dihedral angle all the tabs require completion.  Then change one design feature, such as tail moment of your model to see the effected changes.</t>
  </si>
  <si>
    <t xml:space="preserve"> - Fill in ALL the yellow rectangles.</t>
  </si>
  <si>
    <t>General Information</t>
  </si>
  <si>
    <t>Joe Hahn and Don Stackhouse</t>
  </si>
  <si>
    <t xml:space="preserve">  Total Horizontal Stabilizer Results</t>
  </si>
  <si>
    <t xml:space="preserve">                1/2 Stabilizer Results</t>
  </si>
  <si>
    <t xml:space="preserve">   Total Vertical Stabilizer Results</t>
  </si>
  <si>
    <t>Name</t>
  </si>
  <si>
    <t xml:space="preserve"> - All that's required is a weight scale and ruler.</t>
  </si>
  <si>
    <t xml:space="preserve">  The information does not take into effect airfoils, spanwise flows, wing downwash, intersection drag etc.  However, this is a very good starting point for a new model or verifying manufacturer's supplied information.  </t>
  </si>
  <si>
    <t xml:space="preserve">  Neutral Point (%MAC)</t>
  </si>
  <si>
    <t xml:space="preserve">  Neutral Point from R.L.E.</t>
  </si>
  <si>
    <t>percent</t>
  </si>
  <si>
    <t xml:space="preserve">  As/Aw</t>
  </si>
  <si>
    <t xml:space="preserve">  Adjusted Lift Slope Wing (Aw)</t>
  </si>
  <si>
    <t xml:space="preserve">  Adjusted Lift Slope Stabilzer (As)</t>
  </si>
  <si>
    <t>Disclaimer</t>
  </si>
  <si>
    <t xml:space="preserve">  Neutral Point from R.T.E.</t>
  </si>
  <si>
    <t xml:space="preserve">  de/da</t>
  </si>
  <si>
    <t xml:space="preserve">  Tail Volume (Vs)</t>
  </si>
  <si>
    <t>Enter % MAC</t>
  </si>
  <si>
    <t>Stabilizer Efficiency</t>
  </si>
  <si>
    <t>Static Margin (%)</t>
  </si>
  <si>
    <t>Enter actual CG from L.E.</t>
  </si>
  <si>
    <t xml:space="preserve">  With the sole use of this tab you can determine Wing Area, Wingspan, Wing Loading, Aspect Ratio, Mean Aerodynamic Chord and Reynolds Number.</t>
  </si>
  <si>
    <t>Others</t>
  </si>
  <si>
    <t>Myself</t>
  </si>
  <si>
    <t>Curtis Suter, Designer.</t>
  </si>
  <si>
    <t>Enter Static Margin</t>
  </si>
  <si>
    <t>Reynolds' Number</t>
  </si>
  <si>
    <t>Wing Loading</t>
  </si>
  <si>
    <t xml:space="preserve">  A line connecting the leading edge to the trailing edge of a surface</t>
  </si>
  <si>
    <t xml:space="preserve">  The average chord length of the wing</t>
  </si>
  <si>
    <t xml:space="preserve">  A non-dimensional parameter which establishes relative viscous flow effects</t>
  </si>
  <si>
    <t>Polyhedral</t>
  </si>
  <si>
    <t xml:space="preserve">Area </t>
  </si>
  <si>
    <t xml:space="preserve">  The distance from wingtip to wingtip</t>
  </si>
  <si>
    <t>Mean Aerodynamic Chord (MAC)</t>
  </si>
  <si>
    <t>Center of Gravity (CG)</t>
  </si>
  <si>
    <t>Aspect Ratio (AR)</t>
  </si>
  <si>
    <t>Aerodynamic Center (AC)</t>
  </si>
  <si>
    <t>Static Margin (SM)</t>
  </si>
  <si>
    <t>Neutral Point (NP)</t>
  </si>
  <si>
    <t xml:space="preserve">   For modeling purposes, this is the point at which the glider balances fore and aft</t>
  </si>
  <si>
    <t xml:space="preserve">  The ratio of the span to the average chord</t>
  </si>
  <si>
    <t xml:space="preserve">  The total surface area of a wing, tail or fin</t>
  </si>
  <si>
    <t xml:space="preserve">  Polyhedral refers to the multiple angled wing panels.  A wing with polyhedral has more than two wing panels and the angle of the wing changes at each joint</t>
  </si>
  <si>
    <t xml:space="preserve">  The distance between the aerodynamic center and the center of gravity as measured in percent of the mean aerodynamic chord.  A measure of the amount of static stability possessed by a glider</t>
  </si>
  <si>
    <t xml:space="preserve">  This is the amount of gross weight that each square foot of wing must support in flight to provide lift, expressed as "ounces per square foot"</t>
  </si>
  <si>
    <t xml:space="preserve">  The degree of angle (V-shaped bend) when viewed from the front or rear</t>
  </si>
  <si>
    <t xml:space="preserve">  Their website has a wealth of information where many aerodynamic explanations are available.  http://www.djaerotech.com/dj_askjd/</t>
  </si>
  <si>
    <t>Total Wing Results</t>
  </si>
  <si>
    <t>Tail Sizing Checks Tab</t>
  </si>
  <si>
    <t>Credits Tab</t>
  </si>
  <si>
    <t xml:space="preserve">  I encourage constructive comments to improve this work.  Please email suterc@msn.com</t>
  </si>
  <si>
    <t xml:space="preserve">  This spreadsheet will calculate wing and vertical/horizontal tail areas and aspect ratios.  Design considerations for your tail length and tail sizes (areas), spans and recommended dihedral angles for a Polyhedral glider.  It'll calculate the percent Mean Aerodynamic Chord and Neutral Point to help determine a center of balance location for a first test flight.</t>
  </si>
  <si>
    <t>Wing Dihedral Tab</t>
  </si>
  <si>
    <t>Panel 4 Results</t>
  </si>
  <si>
    <t xml:space="preserve">  Area (dS4)</t>
  </si>
  <si>
    <t>Vertical Stabilizer Tab</t>
  </si>
  <si>
    <t>Balance Point Tab</t>
  </si>
  <si>
    <t>Horizntal Stabilizer Tab</t>
  </si>
  <si>
    <t>f4</t>
  </si>
  <si>
    <t>eta4</t>
  </si>
  <si>
    <t xml:space="preserve">  Please read the credits tab.</t>
  </si>
  <si>
    <t xml:space="preserve">  To determine a balance point (CG) for a first flight, a static margin of  5-10 percent is generally accepted as a good starting point for a safe test flight.  Flight testing can then narrow the actual balance location by removing noseweight.  I personally prefer the dive test method for refining the balance location.</t>
  </si>
  <si>
    <t xml:space="preserve">  I originally started programming this spreadsheet because I crashed a new model on its first flight.  The cause of the crash was that the manufacturer had calculated the balance point incorrectly, over 2" aft!  They since submitted a change to the plans.  This spreadsheet will allow simple measurements with a ruler that will perform complicated formulas to determine where the neutral point is and thus where the center of balance should be for an initial test flight.</t>
  </si>
  <si>
    <t xml:space="preserve">  There are four sweep locations or panels for your use.  To determine how many panels your wing has look at the leading edge and use the number of sweepback breaks your wing has.  If your wing only has two breaks just enter zero's for the third and fourth panel.  </t>
  </si>
  <si>
    <r>
      <t xml:space="preserve">  This tab is only required for use of the </t>
    </r>
    <r>
      <rPr>
        <i/>
        <sz val="10"/>
        <rFont val="Arial"/>
        <family val="2"/>
      </rPr>
      <t>Balance Point</t>
    </r>
    <r>
      <rPr>
        <sz val="10"/>
        <rFont val="Arial"/>
        <family val="2"/>
      </rPr>
      <t xml:space="preserve"> and </t>
    </r>
    <r>
      <rPr>
        <i/>
        <sz val="10"/>
        <rFont val="Arial"/>
        <family val="2"/>
      </rPr>
      <t>Tail Sizing Checks</t>
    </r>
    <r>
      <rPr>
        <sz val="10"/>
        <rFont val="Arial"/>
        <family val="2"/>
      </rPr>
      <t xml:space="preserve"> Tab or if you'd like general information on your tails.</t>
    </r>
  </si>
  <si>
    <t xml:space="preserve">  For the Vertical Stabilizer use only the top portion unless your vertical has a top and bottom component as is popular in Discus Launch Gliders (DLG's).</t>
  </si>
  <si>
    <t>Glossary Tab</t>
  </si>
  <si>
    <t>Tail Sizing Checks</t>
  </si>
  <si>
    <t>Results Tab</t>
  </si>
  <si>
    <t xml:space="preserve">  Single page printing of results from all of the above tabs</t>
  </si>
  <si>
    <t xml:space="preserve">  The place on the glider where all aerodynamic forces may be assumed to act as a single force, i.e 25% MAC</t>
  </si>
  <si>
    <r>
      <t xml:space="preserve">Note:  </t>
    </r>
    <r>
      <rPr>
        <b/>
        <sz val="12"/>
        <color indexed="10"/>
        <rFont val="Arial"/>
        <family val="2"/>
      </rPr>
      <t>Red</t>
    </r>
    <r>
      <rPr>
        <b/>
        <sz val="12"/>
        <rFont val="Arial"/>
        <family val="2"/>
      </rPr>
      <t xml:space="preserve"> Triangle is Aerodynamic Center (AC) of the Wing</t>
    </r>
  </si>
  <si>
    <r>
      <t xml:space="preserve">    Note:  </t>
    </r>
    <r>
      <rPr>
        <b/>
        <sz val="10"/>
        <color indexed="10"/>
        <rFont val="Arial"/>
        <family val="2"/>
      </rPr>
      <t>Red</t>
    </r>
    <r>
      <rPr>
        <b/>
        <sz val="10"/>
        <rFont val="Arial"/>
        <family val="2"/>
      </rPr>
      <t xml:space="preserve"> Triangle is Aerodynamic Center (AC) of the Horizontal Stabilizer</t>
    </r>
  </si>
  <si>
    <r>
      <t xml:space="preserve">      Note:  </t>
    </r>
    <r>
      <rPr>
        <b/>
        <sz val="10"/>
        <color indexed="10"/>
        <rFont val="Arial"/>
        <family val="2"/>
      </rPr>
      <t>Red</t>
    </r>
    <r>
      <rPr>
        <b/>
        <sz val="10"/>
        <rFont val="Arial"/>
        <family val="2"/>
      </rPr>
      <t xml:space="preserve"> Triangle is Aerodynamic Center (AC) of the Vertical Stabilizer</t>
    </r>
  </si>
  <si>
    <t xml:space="preserve">  Sweep distance at MAC</t>
  </si>
  <si>
    <t xml:space="preserve">  MAC distance from root</t>
  </si>
  <si>
    <t>AC</t>
  </si>
  <si>
    <t xml:space="preserve">  MAC for this panel</t>
  </si>
  <si>
    <t xml:space="preserve">  Mean Aerodynamic Chord (length)</t>
  </si>
  <si>
    <t>MAC distance</t>
  </si>
  <si>
    <t>MAC Length</t>
  </si>
  <si>
    <t xml:space="preserve"> suterc@msn.com</t>
  </si>
  <si>
    <t>Red Dashed Line</t>
  </si>
  <si>
    <t>EDA is a major factor in roll response, roll rate and spiral stability. For a rudder and elevator model at a given airspeed and yaw angle, the steady-state roll rate will be proportional to EDA.</t>
  </si>
  <si>
    <r>
      <t xml:space="preserve">0.02 - 0.04 for Polyhedral Glider
0.015 - 0.025 for Aileron Thermal Duration Glider
</t>
    </r>
    <r>
      <rPr>
        <b/>
        <sz val="10"/>
        <rFont val="Arial"/>
        <family val="2"/>
      </rPr>
      <t>Mark Drela Recommends:</t>
    </r>
    <r>
      <rPr>
        <sz val="10"/>
        <rFont val="Arial"/>
        <family val="2"/>
      </rPr>
      <t xml:space="preserve">
&gt;0.03 Polyhedral Glider
&gt;0.025 Aileron TD Glider
0.05 - 0.06 Discus Launch Glider
</t>
    </r>
  </si>
  <si>
    <t>12 for a Polyhedral Glider                              6 for an Aileron Thermal Duration Glider</t>
  </si>
  <si>
    <t>Equivalent Dihedral Angle 
(EDA=)</t>
  </si>
  <si>
    <r>
      <rPr>
        <b/>
        <i/>
        <sz val="12"/>
        <rFont val="Arial"/>
        <family val="2"/>
      </rPr>
      <t xml:space="preserve">Note: </t>
    </r>
    <r>
      <rPr>
        <b/>
        <sz val="12"/>
        <rFont val="Arial"/>
        <family val="2"/>
      </rPr>
      <t xml:space="preserve"> </t>
    </r>
    <r>
      <rPr>
        <b/>
        <sz val="12"/>
        <color indexed="12"/>
        <rFont val="Arial"/>
        <family val="2"/>
      </rPr>
      <t>Blue</t>
    </r>
    <r>
      <rPr>
        <b/>
        <sz val="12"/>
        <rFont val="Arial"/>
        <family val="2"/>
      </rPr>
      <t xml:space="preserve"> Dash is the balance location with the static margin specified in Row 36</t>
    </r>
  </si>
  <si>
    <t xml:space="preserve">          component as is popular in Discus Launch Gliders (DLG's).</t>
  </si>
  <si>
    <r>
      <t xml:space="preserve">            </t>
    </r>
    <r>
      <rPr>
        <b/>
        <sz val="12"/>
        <color indexed="12"/>
        <rFont val="Arial"/>
        <family val="2"/>
      </rPr>
      <t>Blue</t>
    </r>
    <r>
      <rPr>
        <b/>
        <sz val="12"/>
        <rFont val="Arial"/>
        <family val="2"/>
      </rPr>
      <t xml:space="preserve"> line is MAC location</t>
    </r>
  </si>
  <si>
    <r>
      <t xml:space="preserve">            Where </t>
    </r>
    <r>
      <rPr>
        <b/>
        <sz val="12"/>
        <color indexed="12"/>
        <rFont val="Arial"/>
        <family val="2"/>
      </rPr>
      <t>Blue</t>
    </r>
    <r>
      <rPr>
        <b/>
        <sz val="12"/>
        <rFont val="Arial"/>
        <family val="2"/>
      </rPr>
      <t xml:space="preserve"> MAC line and </t>
    </r>
    <r>
      <rPr>
        <b/>
        <sz val="12"/>
        <color indexed="10"/>
        <rFont val="Arial"/>
        <family val="2"/>
      </rPr>
      <t>Red</t>
    </r>
    <r>
      <rPr>
        <b/>
        <sz val="12"/>
        <rFont val="Arial"/>
        <family val="2"/>
      </rPr>
      <t xml:space="preserve"> dashed line intersect is the Aerodynamic Center of the Wing</t>
    </r>
  </si>
  <si>
    <r>
      <t xml:space="preserve">  Data out is only as accurate as data in.  This is not a thousand dollar program that takes into effect all of the complexities of flight in determining the results.  The use of these predictive values work well enough to build and fly a better model airplane.  It has proven to be quite accurate and is better than guessing.  However, further flight testing and trimming is required.  Before you change a manufacturer’s recommendation please consult someone who has flown the model.  Please don't hesitate to email for questions, concerns or suggestions.  The author is not responsible for the loss of your model.   </t>
    </r>
    <r>
      <rPr>
        <b/>
        <i/>
        <sz val="11"/>
        <color indexed="8"/>
        <rFont val="Arial"/>
        <family val="2"/>
      </rPr>
      <t/>
    </r>
  </si>
  <si>
    <t xml:space="preserve">  Hosting of the this spreadsheet on a website is only authorized with the permission of the author/designer.  Email: suterc@msn.com </t>
  </si>
  <si>
    <r>
      <t xml:space="preserve">            </t>
    </r>
    <r>
      <rPr>
        <b/>
        <sz val="12"/>
        <color indexed="10"/>
        <rFont val="Arial"/>
        <family val="2"/>
      </rPr>
      <t>Red</t>
    </r>
    <r>
      <rPr>
        <b/>
        <sz val="12"/>
        <rFont val="Arial"/>
        <family val="2"/>
      </rPr>
      <t xml:space="preserve"> Triangle is Aircraft's Neutral Point at Root Leading Edge</t>
    </r>
  </si>
  <si>
    <r>
      <t xml:space="preserve">            </t>
    </r>
    <r>
      <rPr>
        <b/>
        <sz val="12"/>
        <color indexed="12"/>
        <rFont val="Arial"/>
        <family val="2"/>
      </rPr>
      <t>Blue</t>
    </r>
    <r>
      <rPr>
        <b/>
        <sz val="12"/>
        <color indexed="62"/>
        <rFont val="Arial"/>
        <family val="2"/>
      </rPr>
      <t xml:space="preserve"> </t>
    </r>
    <r>
      <rPr>
        <b/>
        <sz val="12"/>
        <rFont val="Arial"/>
        <family val="2"/>
      </rPr>
      <t>Line is the MAC location</t>
    </r>
  </si>
  <si>
    <r>
      <t xml:space="preserve">            Where </t>
    </r>
    <r>
      <rPr>
        <b/>
        <sz val="12"/>
        <color indexed="12"/>
        <rFont val="Arial"/>
        <family val="2"/>
      </rPr>
      <t>Blue</t>
    </r>
    <r>
      <rPr>
        <b/>
        <sz val="12"/>
        <rFont val="Arial"/>
        <family val="2"/>
      </rPr>
      <t xml:space="preserve"> MAC line and </t>
    </r>
    <r>
      <rPr>
        <b/>
        <sz val="12"/>
        <color indexed="10"/>
        <rFont val="Arial"/>
        <family val="2"/>
      </rPr>
      <t>Red</t>
    </r>
    <r>
      <rPr>
        <b/>
        <sz val="12"/>
        <rFont val="Arial"/>
        <family val="2"/>
      </rPr>
      <t xml:space="preserve"> dashed line intersect is the Neutral Point of the Wing</t>
    </r>
  </si>
  <si>
    <r>
      <t xml:space="preserve">  </t>
    </r>
    <r>
      <rPr>
        <b/>
        <sz val="10"/>
        <rFont val="Arial"/>
        <family val="2"/>
      </rPr>
      <t>Note:</t>
    </r>
    <r>
      <rPr>
        <sz val="10"/>
        <rFont val="Arial"/>
        <family val="2"/>
      </rPr>
      <t xml:space="preserve">  For the Neutral Point calculations to be accurate the </t>
    </r>
    <r>
      <rPr>
        <i/>
        <sz val="10"/>
        <rFont val="Arial"/>
        <family val="2"/>
      </rPr>
      <t xml:space="preserve">Wing </t>
    </r>
    <r>
      <rPr>
        <sz val="10"/>
        <rFont val="Arial"/>
        <family val="2"/>
      </rPr>
      <t>and Horizontal</t>
    </r>
    <r>
      <rPr>
        <i/>
        <sz val="10"/>
        <rFont val="Arial"/>
        <family val="2"/>
      </rPr>
      <t xml:space="preserve"> Stabilizer </t>
    </r>
    <r>
      <rPr>
        <sz val="10"/>
        <rFont val="Arial"/>
        <family val="2"/>
      </rPr>
      <t>tab requires completion for the horiztonal stabilizer.</t>
    </r>
  </si>
  <si>
    <r>
      <t xml:space="preserve">  This tab is only required for the Spiral Stability and EDA values on the </t>
    </r>
    <r>
      <rPr>
        <i/>
        <sz val="10"/>
        <rFont val="Arial"/>
        <family val="2"/>
      </rPr>
      <t>Tail Sizing Checks</t>
    </r>
    <r>
      <rPr>
        <sz val="10"/>
        <rFont val="Arial"/>
        <family val="2"/>
      </rPr>
      <t xml:space="preserve"> Tab.</t>
    </r>
  </si>
  <si>
    <r>
      <rPr>
        <b/>
        <sz val="12"/>
        <rFont val="Arial"/>
        <family val="2"/>
      </rPr>
      <t xml:space="preserve"> </t>
    </r>
    <r>
      <rPr>
        <b/>
        <i/>
        <sz val="12"/>
        <color indexed="10"/>
        <rFont val="Arial"/>
        <family val="2"/>
      </rPr>
      <t>Note:</t>
    </r>
    <r>
      <rPr>
        <b/>
        <sz val="10"/>
        <color indexed="10"/>
        <rFont val="Arial"/>
        <family val="2"/>
      </rPr>
      <t xml:space="preserve"> </t>
    </r>
    <r>
      <rPr>
        <b/>
        <sz val="10"/>
        <rFont val="Arial"/>
        <family val="2"/>
      </rPr>
      <t xml:space="preserve">Use only the top portion unless your vertical stabilizer has a top and bottom </t>
    </r>
  </si>
  <si>
    <r>
      <rPr>
        <b/>
        <i/>
        <sz val="11"/>
        <color indexed="10"/>
        <rFont val="Tahoma"/>
        <family val="2"/>
      </rPr>
      <t>Warning!:</t>
    </r>
    <r>
      <rPr>
        <i/>
        <sz val="11"/>
        <rFont val="Tahoma"/>
        <family val="2"/>
      </rPr>
      <t xml:space="preserve"> For the first flight of a model the red Triangle, (neutral point of the plane) should NEVER be forward of the blue Line, (CG).</t>
    </r>
  </si>
  <si>
    <t xml:space="preserve">  There are to many others to name that have answered my questions throughout the years.  Many have come from the internet newsgroups.  I highly recommend reading these groups and other periodicals as there is a wealth of information on the design and flying of R/C sailplanes.</t>
  </si>
  <si>
    <t xml:space="preserve">  I started this spreadsheet in the early 1990's as I got interested in sailplanes, I was previously a "wet" flyer.  As I trained for my full size fixed wing pilots certificate I found that I enjoyed the learning of the aerodynamics involved in what makes airplanes fly.  Reading Martin's book I thought it'd be nice to input this data for quick comparison between models.  It's grown into what you see today.  All I have done is take others knowledge and placed their formulas into a spreadsheet.  </t>
  </si>
  <si>
    <t>0.02 - 0.04 Poly Glider                 0.015 - 0.025 Aileron TD Glider                              0.05 - 0.06 Discus Launch Glider</t>
  </si>
  <si>
    <t>4.0 - 6.0 Poly Glider                           2.0 - 5.0 Aileron TD Glider</t>
  </si>
  <si>
    <t>12 - Poly Glider                                  6 - Aileron TD Glider</t>
  </si>
  <si>
    <t xml:space="preserve">    This is the aerodynamic center of the whole aircraft.  It's the position through which all net lift acts</t>
  </si>
  <si>
    <t xml:space="preserve">  Sweep Angle</t>
  </si>
  <si>
    <t>degrees</t>
  </si>
  <si>
    <t>HERK STOKELY'S HANDLAUNCH FLYING WING</t>
  </si>
  <si>
    <t>SoarTech Aero Publications</t>
  </si>
  <si>
    <t>UIUC Applied Aerodynamics Group</t>
  </si>
  <si>
    <t>Cl</t>
  </si>
  <si>
    <t>%</t>
  </si>
  <si>
    <t xml:space="preserve">XFLR5 Airfoil and Wing Analysis Tool </t>
  </si>
  <si>
    <r>
      <t xml:space="preserve"> - If you see a </t>
    </r>
    <r>
      <rPr>
        <b/>
        <sz val="10"/>
        <color indexed="10"/>
        <rFont val="Arial"/>
        <family val="2"/>
      </rPr>
      <t>Red</t>
    </r>
    <r>
      <rPr>
        <sz val="10"/>
        <rFont val="Arial"/>
        <family val="2"/>
      </rPr>
      <t xml:space="preserve"> triangle in the upper right of a rectangle, hover your mouse over it to read the instruction.</t>
    </r>
  </si>
  <si>
    <t>Static Margin</t>
  </si>
  <si>
    <t>Static Margin Converter</t>
  </si>
  <si>
    <t xml:space="preserve">  Effective Span</t>
  </si>
  <si>
    <t xml:space="preserve">  Effective Area</t>
  </si>
  <si>
    <t>Effective Wing Results</t>
  </si>
  <si>
    <t xml:space="preserve">  Aspect Ratio</t>
  </si>
  <si>
    <t>Reference</t>
  </si>
  <si>
    <t>mm</t>
  </si>
  <si>
    <t>Distance (mm)</t>
  </si>
  <si>
    <t>kph</t>
  </si>
  <si>
    <r>
      <t>dm</t>
    </r>
    <r>
      <rPr>
        <vertAlign val="superscript"/>
        <sz val="10"/>
        <rFont val="Arial"/>
        <family val="2"/>
      </rPr>
      <t>2</t>
    </r>
  </si>
  <si>
    <r>
      <t>gr/dm</t>
    </r>
    <r>
      <rPr>
        <vertAlign val="superscript"/>
        <sz val="10"/>
        <rFont val="Arial"/>
        <family val="2"/>
      </rPr>
      <t>2</t>
    </r>
  </si>
  <si>
    <t>mm aft of root leading edge</t>
  </si>
  <si>
    <t>Jaap Braam</t>
  </si>
  <si>
    <t xml:space="preserve">  Thanks to Jaap Braam for the metric conversions.</t>
  </si>
  <si>
    <t xml:space="preserve"> - The only measurements required are in "Millimeters" and "Grams".</t>
  </si>
  <si>
    <t>Current Version July 2009.  Pass Solo all letters.</t>
  </si>
  <si>
    <t>in.</t>
  </si>
  <si>
    <t>in</t>
  </si>
  <si>
    <t>inches aft of root leading edge</t>
  </si>
  <si>
    <t>0.10 = Marginal Roll Control                0.20 = Very Effective Roll Control</t>
  </si>
  <si>
    <r>
      <t>in</t>
    </r>
    <r>
      <rPr>
        <vertAlign val="superscript"/>
        <sz val="10"/>
        <rFont val="Arial"/>
        <family val="2"/>
      </rPr>
      <t>2</t>
    </r>
  </si>
  <si>
    <r>
      <t>oz/ft</t>
    </r>
    <r>
      <rPr>
        <vertAlign val="superscript"/>
        <sz val="10"/>
        <rFont val="Arial"/>
        <family val="2"/>
      </rPr>
      <t>2</t>
    </r>
  </si>
  <si>
    <t>Metric</t>
  </si>
  <si>
    <t>Decimal</t>
  </si>
  <si>
    <t xml:space="preserve">  Taper Ratio</t>
  </si>
  <si>
    <t xml:space="preserve">  Percent of Wing Area</t>
  </si>
  <si>
    <t xml:space="preserve">  Sweep Angle (leading edge)</t>
  </si>
  <si>
    <t xml:space="preserve">  MAC for this panel (length)</t>
  </si>
  <si>
    <t xml:space="preserve">  Distance from Wing to Horiz Stab 1/4 chord</t>
  </si>
  <si>
    <t xml:space="preserve">     Reynolds Number</t>
  </si>
  <si>
    <t>Airspeed</t>
  </si>
  <si>
    <t>Result</t>
  </si>
  <si>
    <t>Speed, G and Cl Calc</t>
  </si>
  <si>
    <t>Specify Speed</t>
  </si>
  <si>
    <t xml:space="preserve">Min (Stall) Airspeed </t>
  </si>
  <si>
    <t>Max Airspeed</t>
  </si>
  <si>
    <t>G-load at Max Airspeed</t>
  </si>
  <si>
    <t>G</t>
  </si>
  <si>
    <t>Specify Cl</t>
  </si>
  <si>
    <t>Min (Stall) Airspeed</t>
  </si>
  <si>
    <t xml:space="preserve">             </t>
  </si>
  <si>
    <r>
      <rPr>
        <b/>
        <i/>
        <sz val="11"/>
        <rFont val="Arial"/>
        <family val="2"/>
      </rPr>
      <t xml:space="preserve">  </t>
    </r>
    <r>
      <rPr>
        <b/>
        <i/>
        <sz val="11"/>
        <color indexed="12"/>
        <rFont val="Arial"/>
        <family val="2"/>
      </rPr>
      <t>Note:</t>
    </r>
    <r>
      <rPr>
        <b/>
        <i/>
        <sz val="11"/>
        <rFont val="Arial"/>
        <family val="2"/>
      </rPr>
      <t xml:space="preserve"> </t>
    </r>
    <r>
      <rPr>
        <sz val="10"/>
        <rFont val="Arial"/>
        <family val="2"/>
      </rPr>
      <t>All panel spans are measured perpendicular to the aircraft centerline</t>
    </r>
  </si>
  <si>
    <t>Panel 1</t>
  </si>
  <si>
    <t>Panel 2</t>
  </si>
  <si>
    <t>Panel 3</t>
  </si>
  <si>
    <t>Panel 4</t>
  </si>
  <si>
    <t xml:space="preserve">  Distance between wing and Tail .25% MAC's</t>
  </si>
  <si>
    <t xml:space="preserve">     Dihedral Converter</t>
  </si>
  <si>
    <t>Zstrzeżenie</t>
  </si>
  <si>
    <t>Umieszczenie tego arkusza kalkulacyjnego na stronie internetowej jest dozwolone wyłącznie za zgodą autora/projektanta. E-mail: suterc@msn.com</t>
  </si>
  <si>
    <t>Dane wyjściowe są tak dokładne, jak dane wejściowe. To nie jest program za tysiąc dolarów, który uwzględnia wszystkie złożoności lotu przy określaniu wyników. Użycie tych wartości predykcyjnych działa wystarczająco dobrze, aby zbudować i latać lepszym modelem samolotu. Udowodniono, że jest dość dokładny i lepszy niż zgadywanie. Wymagane są jednak dalsze testy w locie i trymowanie. Przed zmianą zaleceń producenta skonsultuj się z kimś, kto latał danym modelem. W razie pytań, wątpliwości lub sugestii nie wahaj się wysłać wiadomości e-mail. Autor nie ponosi odpowiedzialności za utratę modelu.</t>
  </si>
  <si>
    <t>Informacje ogólne</t>
  </si>
  <si>
    <t>- Potrzebna jest tylko waga i linijka.</t>
  </si>
  <si>
    <t>- Wymagane są jedynie pomiary w „milimetrach” i „gramach”.</t>
  </si>
  <si>
    <t>- Wypełnij WSZYSTKIE żółte prostokąty.</t>
  </si>
  <si>
    <t>- Jeśli w prawym górnym rogu prostokąta widzisz czerwony trójkąt, najedź na niego myszką, aby przeczytać instrukcję.</t>
  </si>
  <si>
    <t>Co to robi?</t>
  </si>
  <si>
    <t>Ta arkusz kalkulacyjny obliczy powierzchnię skrzydeł i usterzenia pionowego/poziomego oraz współczynniki kształtu. Zaplanuj rozważania dotyczące długości usterzenia i rozmiarów usterzenia (powierzchni), rozpiętości i zalecanych kątów dwuściennych dla szybowca wielościennego. Obliczy procent średniej cięciwy aerodynamicznej i punktu neutralnego, aby pomóc określić położenie środka równowagi podczas pierwszego lotu testowego.</t>
  </si>
  <si>
    <t>Informacje te nie uwzględniają profili aerodynamicznych, przepływów wzdłuż rozpiętości, opadu skrzydeł, oporu przecięcia itp. Jest to jednak bardzo dobry punkt wyjścia do opracowania nowego modelu lub weryfikacji informacji dostarczonych przez producenta.</t>
  </si>
  <si>
    <t>Początkowo zacząłem programować tę arkusz kalkulacyjny, ponieważ rozbiłem nowy model podczas jego pierwszego lotu. Przyczyną katastrofy było to, że producent nieprawidłowo obliczył punkt równowagi, ponad 2 cale na rufie! Od tego czasu wprowadzili zmianę do planów. Ten arkusz kalkulacyjny umożliwi proste pomiary za pomocą linijki, która wykona skomplikowane wzory, aby określić, gdzie znajduje się punkt neutralny, a tym samym gdzie powinien znajdować się środek równowagi podczas początkowego lotu testowego.</t>
  </si>
  <si>
    <t>Zakładka skrzydło</t>
  </si>
  <si>
    <t>Do wyboru są cztery lokalizacje zamiatania lub panele. Aby określić, ile paneli ma twoje skrzydło, spójrz na krawędź natarcia i użyj liczby przełamań odchylenia, które ma twoje skrzydło. Jeśli twoje skrzydło ma tylko dwie przerwy, po prostu wprowadź zera dla trzeciego i czwartego panelu.</t>
  </si>
  <si>
    <t xml:space="preserve"> Wyłącznie za pomocą tej zakładki można określić powierzchnię skrzydła, rozpiętość skrzydeł, obciążenie skrzydła, współczynnik kształtu, średnią cięciwę aerodynamiczną i liczbę Reynoldsa.</t>
  </si>
  <si>
    <t>Zakładka stabilizatora poziomego</t>
  </si>
  <si>
    <t>Ta zakładka jest wymagana tylko do korzystania z zakładki Balance Point i Tail Sizing Checks lub jeśli chcesz uzyskać ogólne informacje na temat swoich ogonów.</t>
  </si>
  <si>
    <t>Zakłądk stabilizatora pionowego</t>
  </si>
  <si>
    <t>W przypadku stabilizatora pionowego używaj tylko górnej części, chyba że twój pionowy ma górny i dolny komponent, jak jest to popularne w lotniach startowych z dyskiem (DLG).</t>
  </si>
  <si>
    <t>Zakładka punktu równowagi</t>
  </si>
  <si>
    <t>Aby określić punkt równowagi (CG) dla pierwszego lotu, statyczny margines 5-10 procent jest ogólnie akceptowany jako dobry punkt wyjścia dla bezpiecznego lotu testowego. Testy w locie mogą następnie zawęzić rzeczywiste miejsce wyważenia poprzez usunięcie ciężaru nosa. Osobiście preferuję metodę testu nurkowania do doprecyzowania lokalizacji równowagi.</t>
  </si>
  <si>
    <t>Uwaga: Aby obliczenia punktu neutralnego były dokładne, zakładka Skrzydło i statecznik poziomy wymaga uzupełnienia dla statecznika poziomego.</t>
  </si>
  <si>
    <t>Ta zakładka jest wymagana tylko dla wartości Stateczności krzywej przejściowej i EDA na zakładce Kontrole rozmiaru ogona.</t>
  </si>
  <si>
    <t>Zakładka - wznios skrzydła</t>
  </si>
  <si>
    <t>Zakładka - sprawdzanie rozmiaru ogona</t>
  </si>
  <si>
    <t>Jeśli próbujesz określić właściwy rozmiar ogona, odpowiednie momenty ogonowe (długości) lub właściwy kąt dwuścienny, wszystkie zakładki wymagają uzupełnienia. Następnie zmień jedną cechę projektu, taką jak moment końcowy modelu, aby zobaczyć wprowadzone zmiany.</t>
  </si>
  <si>
    <t>Zakładka Wyniki</t>
  </si>
  <si>
    <t>Jednostronicowy wydruk wyników ze wszystkich powyższych zakładek</t>
  </si>
  <si>
    <t>Zakłądka Glosariusz</t>
  </si>
  <si>
    <t xml:space="preserve">Zakłądka - Sponsorzy </t>
  </si>
  <si>
    <t>Prosimy o zapoznanie się z zakładką napisy końcowe.</t>
  </si>
  <si>
    <t>Aktualna wersja : Li[iec 2009</t>
  </si>
  <si>
    <t>Miejsce na szybowcu, w którym można przyjąć, że wszystkie siły aerodynamiczne działają jako jedna siła, tj. 25% MAC</t>
  </si>
  <si>
    <t>Powierzchnia</t>
  </si>
  <si>
    <t>Całkowita powierzchnia skrzydła, ogona lub płetwy</t>
  </si>
  <si>
    <t>Centrum Aerodynamiczne ( AC)</t>
  </si>
  <si>
    <t>Środek ciężkości (CG)</t>
  </si>
  <si>
    <t>Stosunek rozpiętości do średniej cięciwy</t>
  </si>
  <si>
    <t>Współczynnik proporcji obrazu (AR) - Wydłużenie ???</t>
  </si>
  <si>
    <t>Dla celów modelarskich jest to punkt, w którym szybowiec balansuje do przodu i do tyłu</t>
  </si>
  <si>
    <t>Cięciwa</t>
  </si>
  <si>
    <t>Linia łącząca krawędź natarcia z krawędzią spływu powierzchni</t>
  </si>
  <si>
    <t>Wznios</t>
  </si>
  <si>
    <t>kąt wzniosu skrzydła (zgięcie w kształcie litery V) patrząc z przodu lub z tyłu</t>
  </si>
  <si>
    <t>Średnia cięciwa aerodynamiczna (MAC)</t>
  </si>
  <si>
    <t>długość cięciwy skrzydła</t>
  </si>
  <si>
    <t>Punkt neutralny (NP.)</t>
  </si>
  <si>
    <t xml:space="preserve">Jest to środek aerodynamiczny całego samolotu. Jest to punkt , przez którą działają wszystkie siły </t>
  </si>
  <si>
    <t>Kąt ???????</t>
  </si>
  <si>
    <t>Wielościan odnosi się do wielu kątowych paneli skrzydeł. Skrzydło wielościenne ma więcej niż dwa panele skrzydłowe, a kąt skrzydła zmienia się przy każdym połączeniu</t>
  </si>
  <si>
    <t>Liczba Reynoldsa</t>
  </si>
  <si>
    <t>Parametr niewymiarowy, który określa względne efekty lepkości</t>
  </si>
  <si>
    <t>Rozpiętość</t>
  </si>
  <si>
    <t>Odległość od końcówki skrzydła do końcówki skrzydła</t>
  </si>
  <si>
    <t>Depozyt zabezpieczający statyczny (SM)</t>
  </si>
  <si>
    <t>Odległość między środkiem aerodynamicznym a środkiem ciężkości mierzona w procentach średniej cięciwy aerodynamicznej. Miara stopnia stateczności statycznej posiadanej przez szybowiec</t>
  </si>
  <si>
    <t>Obciążenie skrzydła</t>
  </si>
  <si>
    <t>Jest to ilość masy brutto, którą każdy decmetr kwadratowy  skrzydła musi utrzymać w locie, aby zapewnić siłę nośną, wyrażona jako "gram/dcm2</t>
  </si>
  <si>
    <t>Słownik  Pojęć</t>
  </si>
  <si>
    <t>Nigdy nie spotkałem Herka osobiście, ale pomógł mi zrozumieć takie terminy jak średni akord aerodynamiczny, margines statyczny itp. Bardzo dziękuję Herkowi za jego doskonałą wiedzę i cierpliwość w odpowiedzi na moje liczne pytania.</t>
  </si>
  <si>
    <t>Książka Martina "Aerodynamika modeli samolotów" jest obowiązkową lekturą dla każdego projektanta modeli samolotów lub chcącego dowiedzieć się więcej o aerodynamice. To tutaj uzyskałem wszystkie formuły do arkusza kalkulacyjnego, z wyjątkiem kontroli rozmiaru ogona, które uzyskałem od Marka Dreli.</t>
  </si>
  <si>
    <t>Mark napisał artykuł na temat kontroli rozmiaru ogona, a ja użyłem jego formuł w tej części arkusza kalkulacyjnego. Można go znaleźć pod adresem: http://www.b2streamlines.com/ (wydanie z sierpnia 2004), do pobrania za darmo dzięki Radio Controlled Soaring Digests.</t>
  </si>
  <si>
    <t>strona internetowa zawiera wiele informacji, na których dostępnych jest wiele wyjaśnień dotyczących aerodynamiki. http://www.djaerotech.com/dj_askjd/</t>
  </si>
  <si>
    <t>dla Jaapa Braama za konwersje metryk.</t>
  </si>
  <si>
    <t>Jest wiele innych, które mógłbym wymienić, a które przez lata odpowiadały na moje pytania. Wiele z nich pochodzi z internetowych grup dyskusyjnych. Gorąco polecam lekturę tych grup i innych periodyków, ponieważ znajduje się tam całe zatrzęsienie informacji na temat budowy i latania szybowców R/C.</t>
  </si>
  <si>
    <t>Zacząłem pisać ten arkusz kalkulacyjny na początku lat dziewięćdziesiątych, kiedy zainteresowałem się szybowcami, wcześniej byłem "mokrym" lotnikiem. Kiedy trenowałem, aby uzyskać pełnowymiarowy certyfikat pilota stałopłatów, odkryłem, że podoba mi się nauka aerodynamiki związanej z tym, co sprawia, że samoloty latają. Czytając książkę Martina pomyślałem, że fajnie byłoby wprowadzić te dane do szybkiego porównania między modelami. Wyrósł na to, co widzisz dzisiaj. Wszystko, co zrobiłem, to wziąłem wiedzę innych i umieściłem ich formuły w arkuszu kalkulacyjnym.</t>
  </si>
  <si>
    <t>Zachęcam do konstruktywnych uwag w celu ulepszenia tej pracy. Wyślij wiadomość e-mail suterc@msn.com</t>
  </si>
  <si>
    <t>Curtis Suter, projektant</t>
  </si>
  <si>
    <t>Ja</t>
  </si>
  <si>
    <t xml:space="preserve">  Total Span - Rozpiętość całkwita</t>
  </si>
  <si>
    <t xml:space="preserve">  Total Area - Powierzchnia całkowita</t>
  </si>
  <si>
    <t xml:space="preserve">  Wing Loading - Obciążenie skrzydła</t>
  </si>
  <si>
    <t xml:space="preserve">  Mean Chord (area/span) - Średnia cięciwa </t>
  </si>
  <si>
    <t xml:space="preserve">  Mean Aerodynamic Chord (length) - Średnia cięciwa aerodynamiczna</t>
  </si>
  <si>
    <t xml:space="preserve">  Aspect Ratio - Współczynnik proporcji - Wydłużenie</t>
  </si>
  <si>
    <t xml:space="preserve">  Taper Ratio -  współczynnik stożka</t>
  </si>
  <si>
    <t xml:space="preserve">  Location of 25% point - Lokalizacja punktu 25%- od krawędzi natarcia</t>
  </si>
  <si>
    <t xml:space="preserve">  Effective Span - Rozpiętość efektywna</t>
  </si>
  <si>
    <t xml:space="preserve">  Effective Area - Powierzchnia efektywna</t>
  </si>
  <si>
    <t xml:space="preserve">  Effective Loading - Obciążenie efektywne</t>
  </si>
  <si>
    <t xml:space="preserve">  Effective Aspect Ratio - Wydłużenie efektywne</t>
  </si>
  <si>
    <t>TOTAL WING RESULTS -  skrzydło</t>
  </si>
  <si>
    <t>Total Vertical Stabilizer Results - statecznik pionowy</t>
  </si>
  <si>
    <t>Total Horizontal Stabilizer Results - statecznik poziomy</t>
  </si>
  <si>
    <t xml:space="preserve">  Percent of Wing Area - procent powierzchni skrzydła</t>
  </si>
  <si>
    <t xml:space="preserve">  Total Span - Rozpiętość całkowita</t>
  </si>
  <si>
    <t xml:space="preserve">  Mean Chord (area/span) -  Średnia cięciwa</t>
  </si>
  <si>
    <t xml:space="preserve">  Aspect Ratio - Wydłużenie</t>
  </si>
  <si>
    <t xml:space="preserve">  Taper Ratio (upper panel) -  Współczynnik stożka- panel górny</t>
  </si>
  <si>
    <t xml:space="preserve">  Taper Ratio (bottom panel) - Współczynnik stożka - panel dolny</t>
  </si>
  <si>
    <t xml:space="preserve">  Location of 25% point - położeniep punktu 25 %</t>
  </si>
  <si>
    <t xml:space="preserve">  Distance between wing and Tail .25% MAC's Odległość  skrzydło ogon</t>
  </si>
  <si>
    <r>
      <t>Horizontal Tail Volume (pitch stability) (Vh) -</t>
    </r>
    <r>
      <rPr>
        <sz val="10"/>
        <color rgb="FFFF0000"/>
        <rFont val="Arial"/>
        <family val="2"/>
        <charset val="238"/>
      </rPr>
      <t xml:space="preserve"> Współczynnik stateczkia poziomego</t>
    </r>
  </si>
  <si>
    <r>
      <t xml:space="preserve">Vertical Tail Volume (yaw damping and rudder power) (Vv) - </t>
    </r>
    <r>
      <rPr>
        <sz val="10"/>
        <color rgb="FFFF0000"/>
        <rFont val="Arial"/>
        <family val="2"/>
        <charset val="238"/>
      </rPr>
      <t>Współczynnik statecznika pionowego</t>
    </r>
  </si>
  <si>
    <r>
      <t xml:space="preserve">Spiral Stability (B) - </t>
    </r>
    <r>
      <rPr>
        <sz val="10"/>
        <color rgb="FFFF0000"/>
        <rFont val="Arial"/>
        <family val="2"/>
        <charset val="238"/>
      </rPr>
      <t>Współczynnik stabilności spiralnej</t>
    </r>
  </si>
  <si>
    <r>
      <t>Dihedral Sizing - Roll Control (VvB) -</t>
    </r>
    <r>
      <rPr>
        <sz val="10"/>
        <color rgb="FFFF0000"/>
        <rFont val="Arial"/>
        <family val="2"/>
        <charset val="238"/>
      </rPr>
      <t xml:space="preserve"> Wznios,  kontrola przechyłu</t>
    </r>
  </si>
  <si>
    <r>
      <t xml:space="preserve">Equivalent Dihedral Angle (EDA) - </t>
    </r>
    <r>
      <rPr>
        <sz val="10"/>
        <color rgb="FFFF0000"/>
        <rFont val="Arial"/>
        <family val="2"/>
        <charset val="238"/>
      </rPr>
      <t xml:space="preserve"> Równoważny wznios</t>
    </r>
  </si>
  <si>
    <t>Balance Point - Punkt równowagi</t>
  </si>
  <si>
    <r>
      <t xml:space="preserve">  Location of Neutral Point -</t>
    </r>
    <r>
      <rPr>
        <sz val="10"/>
        <color rgb="FFFF0000"/>
        <rFont val="Arial"/>
        <family val="2"/>
        <charset val="238"/>
      </rPr>
      <t xml:space="preserve"> Lokalizacja punktu neutralnego</t>
    </r>
  </si>
  <si>
    <r>
      <t xml:space="preserve">  Static Margin Specified - </t>
    </r>
    <r>
      <rPr>
        <sz val="10"/>
        <color rgb="FFFF0000"/>
        <rFont val="Arial"/>
        <family val="2"/>
        <charset val="238"/>
      </rPr>
      <t>Margines statyczny</t>
    </r>
  </si>
  <si>
    <r>
      <t xml:space="preserve">  Balance point with above Static Margin - </t>
    </r>
    <r>
      <rPr>
        <sz val="10"/>
        <color rgb="FFFF0000"/>
        <rFont val="Arial"/>
        <family val="2"/>
        <charset val="238"/>
      </rPr>
      <t>punkt równowagi z powyższym marginesem</t>
    </r>
  </si>
  <si>
    <t>Wymagane obliczenia, proszę zignorować.</t>
  </si>
  <si>
    <r>
      <t xml:space="preserve">Model Weight (grams) </t>
    </r>
    <r>
      <rPr>
        <sz val="10"/>
        <color rgb="FFFF0000"/>
        <rFont val="Arial"/>
        <family val="2"/>
        <charset val="238"/>
      </rPr>
      <t>Ciężar modelu</t>
    </r>
  </si>
  <si>
    <t xml:space="preserve">Uskok </t>
  </si>
  <si>
    <t>Uskok</t>
  </si>
  <si>
    <t>Cięciwa podstawowa</t>
  </si>
  <si>
    <t>druga cięciwa</t>
  </si>
  <si>
    <t>trzecia cięciwa</t>
  </si>
  <si>
    <t>4 cieciwa</t>
  </si>
  <si>
    <t>Cięciwa końcowa</t>
  </si>
  <si>
    <t xml:space="preserve">Rozpiętość </t>
  </si>
  <si>
    <t xml:space="preserve">Rozpiętość panelu 1 </t>
  </si>
  <si>
    <t>Rozpiętość panelu 2</t>
  </si>
  <si>
    <t>Rozpiętość panelu 3</t>
  </si>
  <si>
    <t>Rozpiętość panelu 4</t>
  </si>
  <si>
    <t>Uwaga: Wszystkie rozpiętości paneli są mierzone prostopadle do osi samolotu</t>
  </si>
  <si>
    <t>Przeciązenie przy prędkośći maxymalnej</t>
  </si>
  <si>
    <t>Prędkość km/h</t>
  </si>
  <si>
    <t>Minimalna prędkość lotu km/h</t>
  </si>
  <si>
    <t>Maxymalna prędkość lotu  km/h</t>
  </si>
  <si>
    <t>Uwaga: Czerwony trójkąt to środek aerodynamiczny (AC) skrzydła</t>
  </si>
  <si>
    <t>Niebieska linia to lokalizacja MAC</t>
  </si>
  <si>
    <t>Miejsce, w którym przecinają się niebieska linia MAC i czerwona linia przerywana, to aerodynamiczny środek skrzydła</t>
  </si>
  <si>
    <t>Kąt zamiatania (krawędź natarcia)</t>
  </si>
  <si>
    <t>Powierzchnia statwcznika</t>
  </si>
  <si>
    <t>Srednia cięciwa statecznika</t>
  </si>
  <si>
    <t>Średnia cięciwa aerodynamiczna</t>
  </si>
  <si>
    <t>Wydłużenie statecznika</t>
  </si>
  <si>
    <t>Współczynnik stożka</t>
  </si>
  <si>
    <t xml:space="preserve">Procent powierzchni skrzydła </t>
  </si>
  <si>
    <t>1/2 Wyniki tabilizatora</t>
  </si>
  <si>
    <t>Cięciwa górna</t>
  </si>
  <si>
    <t>Cięciwa środkowa</t>
  </si>
  <si>
    <t>Cięciwa dolna</t>
  </si>
  <si>
    <t>Rozpiętość dolna</t>
  </si>
  <si>
    <t>Rozpiętość górna</t>
  </si>
  <si>
    <t>Czy Twój pionowy ogon wygląda tak?</t>
  </si>
  <si>
    <t>Uwaga: Czerwony trójkąt to środek aerodynamiczny (AC) stabilizatora pionowego</t>
  </si>
  <si>
    <t>Uwaga: Używaj tylko górnej części, chyba że stabilizator pionowy ma górę i dół</t>
  </si>
  <si>
    <t>komponent, który jest popularny w szybowcach startowych Discus Launch Gliders (DLG).</t>
  </si>
  <si>
    <t>Łączne wyniki stabilizatora pionowego</t>
  </si>
  <si>
    <t>Procent powierzchni skrzydła</t>
  </si>
  <si>
    <t>Wydłużenie</t>
  </si>
  <si>
    <t xml:space="preserve">Średnia cięciwa </t>
  </si>
  <si>
    <t>Powierzchnia całkowita</t>
  </si>
  <si>
    <t>Wyniki panelu górnego</t>
  </si>
  <si>
    <t xml:space="preserve">Wyniki panelu dolnego </t>
  </si>
  <si>
    <t>Współczynnuik stożka</t>
  </si>
  <si>
    <t xml:space="preserve">Kąt zamiatania </t>
  </si>
  <si>
    <t>MAC dla tego panelu</t>
  </si>
  <si>
    <t>Srednia cięciwa</t>
  </si>
  <si>
    <t>PUNKT RÓWNOWAGI</t>
  </si>
  <si>
    <t>Uwaga: Niebieska kreska to lokalizacja salda z marginesem statycznym określonym w wierszu 36</t>
  </si>
  <si>
    <t>Czerwony trójkąt to neutralny punkt samolotu na głównej krawędzi natarcia</t>
  </si>
  <si>
    <t>Miejsce, w którym przecinają się niebieska linia MAC i czerwona linia przerywana, jest neutralnym punktem skrzydła</t>
  </si>
  <si>
    <t>Ostrzeżenie!: Podczas pierwszego lotu modelu czerwony trójkąt (neutralny punkt samolotu) NIGDY nie powinien znajdować się przed niebieską linią (CG).</t>
  </si>
  <si>
    <t>Wydajność stabilizatora</t>
  </si>
  <si>
    <t>Wproważ margies statyczny</t>
  </si>
  <si>
    <r>
      <t>Neutral Point (%MAC) -</t>
    </r>
    <r>
      <rPr>
        <b/>
        <sz val="10"/>
        <color rgb="FFFF0000"/>
        <rFont val="Arial"/>
        <family val="2"/>
        <charset val="238"/>
      </rPr>
      <t xml:space="preserve"> Punkt neutralny</t>
    </r>
  </si>
  <si>
    <t>Konwerter marginesów statycznych</t>
  </si>
  <si>
    <t>Wprowadź rzeczywisty CG z L.E.</t>
  </si>
  <si>
    <t>Wprowadź %  MAC</t>
  </si>
  <si>
    <t>Odległość od Wing do Horiz Stab 1/4 cięciwy</t>
  </si>
  <si>
    <t>????????????</t>
  </si>
  <si>
    <t>Objętość ogona</t>
  </si>
  <si>
    <t>Dostosowano stabilizator nachylenia podnośnika (As)</t>
  </si>
  <si>
    <t>Dostosowano skrzydło nachylenia windy (Aw)</t>
  </si>
  <si>
    <t>Punt neutralny od …....</t>
  </si>
  <si>
    <t>Punkt neutralny ( % MAC)</t>
  </si>
  <si>
    <t>Wznios 4</t>
  </si>
  <si>
    <t>Wznios 3</t>
  </si>
  <si>
    <t>Wznios 2</t>
  </si>
  <si>
    <t>Wznios 1</t>
  </si>
  <si>
    <t>Długość panelu</t>
  </si>
  <si>
    <t>Wznios ( stopnie)</t>
  </si>
  <si>
    <t>Wysokość</t>
  </si>
  <si>
    <t xml:space="preserve">Po wpisaniu watości kątów wznosu kolejnych części skrzydła oraz długości - podaje wartość wzniosu w mm </t>
  </si>
  <si>
    <t xml:space="preserve">do pierwszego rysunku </t>
  </si>
  <si>
    <t>Przelicznik kątów</t>
  </si>
  <si>
    <t>Cruciform Tail - ogon krzyżowy</t>
  </si>
  <si>
    <t>Suggested Sizes  -   Sugerowane współczynniki</t>
  </si>
  <si>
    <t>What it does?  Do czego służy</t>
  </si>
  <si>
    <t>What affects the results - Co wpływa na wyniki</t>
  </si>
  <si>
    <r>
      <t xml:space="preserve">0.7 big glider    </t>
    </r>
    <r>
      <rPr>
        <sz val="10"/>
        <color rgb="FFFF0000"/>
        <rFont val="Arial"/>
        <family val="2"/>
        <charset val="238"/>
      </rPr>
      <t xml:space="preserve">duży sztybowiec </t>
    </r>
    <r>
      <rPr>
        <sz val="10"/>
        <rFont val="Arial"/>
        <family val="2"/>
      </rPr>
      <t xml:space="preserve">                                    0.6 DLG size    </t>
    </r>
    <r>
      <rPr>
        <sz val="10"/>
        <color rgb="FFFF0000"/>
        <rFont val="Arial"/>
        <family val="2"/>
        <charset val="238"/>
      </rPr>
      <t>małe DLG</t>
    </r>
  </si>
  <si>
    <r>
      <t xml:space="preserve">This is an assumed value of CL during slow thermalling. </t>
    </r>
    <r>
      <rPr>
        <sz val="10"/>
        <color rgb="FFFF0000"/>
        <rFont val="Arial"/>
        <family val="2"/>
        <charset val="238"/>
      </rPr>
      <t xml:space="preserve"> Jest to zakładana wartość CL podczas powolnego thermallingu.</t>
    </r>
  </si>
  <si>
    <r>
      <t xml:space="preserve">Dihedral Sizing Criteria -        </t>
    </r>
    <r>
      <rPr>
        <sz val="10"/>
        <rFont val="Arial"/>
        <family val="2"/>
      </rPr>
      <t xml:space="preserve">Spiral Stability  </t>
    </r>
    <r>
      <rPr>
        <sz val="10"/>
        <color rgb="FFFF0000"/>
        <rFont val="Arial"/>
        <family val="2"/>
        <charset val="238"/>
      </rPr>
      <t>Współczynnik stabilności spiralnej</t>
    </r>
    <r>
      <rPr>
        <b/>
        <sz val="10"/>
        <rFont val="Arial"/>
        <family val="2"/>
      </rPr>
      <t xml:space="preserve">
(B=)</t>
    </r>
  </si>
  <si>
    <r>
      <t xml:space="preserve">&gt;5 Stable     </t>
    </r>
    <r>
      <rPr>
        <sz val="10"/>
        <color rgb="FFFF0000"/>
        <rFont val="Arial"/>
        <family val="2"/>
        <charset val="238"/>
      </rPr>
      <t>stabilny</t>
    </r>
    <r>
      <rPr>
        <sz val="10"/>
        <rFont val="Arial"/>
        <family val="2"/>
      </rPr>
      <t xml:space="preserve">
=5 Neutral    </t>
    </r>
    <r>
      <rPr>
        <sz val="10"/>
        <color rgb="FFFF0000"/>
        <rFont val="Arial"/>
        <family val="2"/>
        <charset val="238"/>
      </rPr>
      <t>niestabilny</t>
    </r>
    <r>
      <rPr>
        <sz val="10"/>
        <rFont val="Arial"/>
        <family val="2"/>
      </rPr>
      <t xml:space="preserve">
&lt;5 Unstable  </t>
    </r>
    <r>
      <rPr>
        <sz val="10"/>
        <color rgb="FFFF0000"/>
        <rFont val="Arial"/>
        <family val="2"/>
        <charset val="238"/>
      </rPr>
      <t>neutralny</t>
    </r>
    <r>
      <rPr>
        <sz val="10"/>
        <rFont val="Arial"/>
        <family val="2"/>
      </rPr>
      <t xml:space="preserve">
4.0 - 6.0 for Polyhedral Glider </t>
    </r>
    <r>
      <rPr>
        <sz val="10"/>
        <color rgb="FFFF0000"/>
        <rFont val="Arial"/>
        <family val="2"/>
        <charset val="238"/>
      </rPr>
      <t>Szybowiec o wzniosie łamanym</t>
    </r>
    <r>
      <rPr>
        <sz val="10"/>
        <rFont val="Arial"/>
        <family val="2"/>
      </rPr>
      <t xml:space="preserve">
2.0 - 5.0 for Aileron Thermal Duration Glider - </t>
    </r>
    <r>
      <rPr>
        <b/>
        <sz val="10"/>
        <color rgb="FFFF0000"/>
        <rFont val="Arial"/>
        <family val="2"/>
        <charset val="238"/>
      </rPr>
      <t xml:space="preserve">Szybowiec termiczny z lotkami
</t>
    </r>
    <r>
      <rPr>
        <sz val="10"/>
        <rFont val="Arial"/>
        <family val="2"/>
      </rPr>
      <t xml:space="preserve">
</t>
    </r>
    <r>
      <rPr>
        <b/>
        <sz val="10"/>
        <rFont val="Arial"/>
        <family val="2"/>
      </rPr>
      <t>Mark Drela Recommends:</t>
    </r>
    <r>
      <rPr>
        <sz val="10"/>
        <rFont val="Arial"/>
        <family val="2"/>
      </rPr>
      <t xml:space="preserve">
5.0 - 5.5 for Polyhedral Glider - </t>
    </r>
    <r>
      <rPr>
        <b/>
        <sz val="10"/>
        <color rgb="FFFF0000"/>
        <rFont val="Arial"/>
        <family val="2"/>
        <charset val="238"/>
      </rPr>
      <t>szybowiec "wielowzniosowy"</t>
    </r>
    <r>
      <rPr>
        <sz val="10"/>
        <rFont val="Arial"/>
        <family val="2"/>
      </rPr>
      <t xml:space="preserve">
&gt;3.0 for Aileron TD Glider - </t>
    </r>
    <r>
      <rPr>
        <b/>
        <sz val="10"/>
        <color rgb="FFFF0000"/>
        <rFont val="Arial"/>
        <family val="2"/>
        <charset val="238"/>
      </rPr>
      <t>Szybowiec z lotkami</t>
    </r>
  </si>
  <si>
    <r>
      <t xml:space="preserve">The dihedral angle of the wing provides some degree of natural spiral stability.  A spirally-unstable aircraft tends to constantly increase its bank angle at some rate, and therefore requires constant attention by the pilot. Conversely, a spirally-stable aircraft will tend to roll upright with no control input from the pilot, and thus make the aircraft easier to fly.                              </t>
    </r>
    <r>
      <rPr>
        <sz val="10"/>
        <color rgb="FFFF0000"/>
        <rFont val="Arial"/>
        <family val="2"/>
        <charset val="238"/>
      </rPr>
      <t>Wznios  skrzydła zapewnia pewien stopień naturalnej stabilności spiralnej.  Samolot niestabilny spiralnie ma tendencję do ciągłego zwiększania kąta przechylenia w pewnym tempie, a zatem wymaga stałej uwagi pilota. I odwrotnie, samolot stabilny spiralnie będzie miał tendencję do toczenia się w pozycji pionowej bez udziału pilota, a tym samym ułatwi pilotowanie samolotu.</t>
    </r>
  </si>
  <si>
    <r>
      <t xml:space="preserve">Affected by </t>
    </r>
    <r>
      <rPr>
        <i/>
        <sz val="10"/>
        <rFont val="Arial"/>
        <family val="2"/>
      </rPr>
      <t>CL Therm</t>
    </r>
    <r>
      <rPr>
        <sz val="10"/>
        <rFont val="Arial"/>
        <family val="2"/>
      </rPr>
      <t xml:space="preserve"> and </t>
    </r>
    <r>
      <rPr>
        <i/>
        <sz val="10"/>
        <rFont val="Arial"/>
        <family val="2"/>
      </rPr>
      <t>EDA</t>
    </r>
    <r>
      <rPr>
        <sz val="10"/>
        <rFont val="Arial"/>
        <family val="2"/>
      </rPr>
      <t xml:space="preserve"> on this tab, </t>
    </r>
    <r>
      <rPr>
        <i/>
        <sz val="10"/>
        <rFont val="Arial"/>
        <family val="2"/>
      </rPr>
      <t>Vertical Tail Area</t>
    </r>
    <r>
      <rPr>
        <sz val="10"/>
        <rFont val="Arial"/>
        <family val="2"/>
      </rPr>
      <t xml:space="preserve"> on </t>
    </r>
    <r>
      <rPr>
        <i/>
        <sz val="10"/>
        <rFont val="Arial"/>
        <family val="2"/>
      </rPr>
      <t>Vertical Stab</t>
    </r>
    <r>
      <rPr>
        <sz val="10"/>
        <rFont val="Arial"/>
        <family val="2"/>
      </rPr>
      <t xml:space="preserve"> tab and </t>
    </r>
    <r>
      <rPr>
        <i/>
        <sz val="10"/>
        <rFont val="Arial"/>
        <family val="2"/>
      </rPr>
      <t>Vertical Stabilizer moment</t>
    </r>
    <r>
      <rPr>
        <sz val="10"/>
        <rFont val="Arial"/>
        <family val="2"/>
      </rPr>
      <t xml:space="preserve"> and </t>
    </r>
    <r>
      <rPr>
        <i/>
        <sz val="10"/>
        <rFont val="Arial"/>
        <family val="2"/>
      </rPr>
      <t>Main wing span</t>
    </r>
    <r>
      <rPr>
        <sz val="10"/>
        <rFont val="Arial"/>
        <family val="2"/>
      </rPr>
      <t xml:space="preserve"> on wing tab.                                         </t>
    </r>
    <r>
      <rPr>
        <b/>
        <sz val="10"/>
        <color rgb="FFFF0000"/>
        <rFont val="Arial"/>
        <family val="2"/>
        <charset val="238"/>
      </rPr>
      <t>Ma wpływ na CL Therm i EDA na tej zakładce, pionowy obszar ogona na zakładce Pionowe dźgnięcie oraz pionowy moment stabilizujący i rozpiętość głównego skrzydła na zakładce skrzydła.</t>
    </r>
  </si>
  <si>
    <r>
      <t xml:space="preserve">Horizontal Tail Sizing Criteria (Volume) -        </t>
    </r>
    <r>
      <rPr>
        <sz val="10"/>
        <rFont val="Arial"/>
        <family val="2"/>
      </rPr>
      <t xml:space="preserve">Pitch Stability    </t>
    </r>
    <r>
      <rPr>
        <b/>
        <sz val="10"/>
        <color rgb="FFFF0000"/>
        <rFont val="Arial"/>
        <family val="2"/>
        <charset val="238"/>
      </rPr>
      <t>Kryteria wymiarowania ogona poziomego (objętość) - Stabilność skoku</t>
    </r>
    <r>
      <rPr>
        <sz val="10"/>
        <rFont val="Arial"/>
        <family val="2"/>
      </rPr>
      <t xml:space="preserve">  
(Vh=)</t>
    </r>
    <r>
      <rPr>
        <b/>
        <sz val="10"/>
        <rFont val="Arial"/>
        <family val="2"/>
      </rPr>
      <t xml:space="preserve">
(Vh=)</t>
    </r>
  </si>
  <si>
    <r>
      <t xml:space="preserve">0.3 - 0.6
</t>
    </r>
    <r>
      <rPr>
        <b/>
        <sz val="10"/>
        <rFont val="Arial"/>
        <family val="2"/>
      </rPr>
      <t>Mark Drela Recommends:</t>
    </r>
    <r>
      <rPr>
        <sz val="10"/>
        <rFont val="Arial"/>
        <family val="2"/>
      </rPr>
      <t xml:space="preserve">
0.4 - 0.45 Polyhedral Glider           </t>
    </r>
    <r>
      <rPr>
        <sz val="10"/>
        <color rgb="FFFF0000"/>
        <rFont val="Arial"/>
        <family val="2"/>
        <charset val="238"/>
      </rPr>
      <t>szybowiec "wielowzniosoway"</t>
    </r>
    <r>
      <rPr>
        <sz val="10"/>
        <rFont val="Arial"/>
        <family val="2"/>
      </rPr>
      <t xml:space="preserve">
0.3 - 0.6 Aileron TD Glider                  </t>
    </r>
    <r>
      <rPr>
        <sz val="10"/>
        <color rgb="FFFF0000"/>
        <rFont val="Arial"/>
        <family val="2"/>
        <charset val="238"/>
      </rPr>
      <t xml:space="preserve">szybowiec z lotkami
</t>
    </r>
  </si>
  <si>
    <r>
      <t xml:space="preserve">This is a measure of the effectiveness of the horizontal tail.  The Neutral Point location is primarily controlled by the size of the horizontal tail and its moment arm from the CG.           </t>
    </r>
    <r>
      <rPr>
        <b/>
        <sz val="10"/>
        <color rgb="FFFF0000"/>
        <rFont val="Arial"/>
        <family val="2"/>
        <charset val="238"/>
      </rPr>
      <t>Jest to miara skuteczności usterzenia poziomego.  Położenie punktu neutralnego jest przede wszystkim kontrolowane przez rozmiar ogona poziomego i jego ramienia momentu od środka ciężkości.</t>
    </r>
  </si>
  <si>
    <r>
      <t xml:space="preserve">Affected by </t>
    </r>
    <r>
      <rPr>
        <i/>
        <sz val="10"/>
        <rFont val="Arial"/>
        <family val="2"/>
      </rPr>
      <t>Horizontal tail area</t>
    </r>
    <r>
      <rPr>
        <sz val="10"/>
        <rFont val="Arial"/>
        <family val="2"/>
      </rPr>
      <t xml:space="preserve"> on horizontal stab tab, </t>
    </r>
    <r>
      <rPr>
        <i/>
        <sz val="10"/>
        <rFont val="Arial"/>
        <family val="2"/>
      </rPr>
      <t>main wing area</t>
    </r>
    <r>
      <rPr>
        <sz val="10"/>
        <rFont val="Arial"/>
        <family val="2"/>
      </rPr>
      <t xml:space="preserve">, </t>
    </r>
    <r>
      <rPr>
        <i/>
        <sz val="10"/>
        <rFont val="Arial"/>
        <family val="2"/>
      </rPr>
      <t>Horizontal tail arm</t>
    </r>
    <r>
      <rPr>
        <sz val="10"/>
        <rFont val="Arial"/>
        <family val="2"/>
      </rPr>
      <t xml:space="preserve"> and </t>
    </r>
    <r>
      <rPr>
        <i/>
        <sz val="10"/>
        <rFont val="Arial"/>
        <family val="2"/>
      </rPr>
      <t>main wing chord</t>
    </r>
    <r>
      <rPr>
        <sz val="10"/>
        <rFont val="Arial"/>
        <family val="2"/>
      </rPr>
      <t xml:space="preserve"> on wing tab.                                                                       </t>
    </r>
    <r>
      <rPr>
        <b/>
        <sz val="10"/>
        <color rgb="FFFF0000"/>
        <rFont val="Arial"/>
        <family val="2"/>
        <charset val="238"/>
      </rPr>
      <t>Wpływa na obszar usterzenia poziomego na wypustce poziomego skrzydła, obszar skrzydła głównego, poziome ramię ogona i cięciwę skrzydła głównego na klapie skrzydła.</t>
    </r>
  </si>
  <si>
    <r>
      <t xml:space="preserve">Vertical Tail Sizing Criteria (Volume) -        </t>
    </r>
    <r>
      <rPr>
        <sz val="10"/>
        <rFont val="Arial"/>
        <family val="2"/>
      </rPr>
      <t xml:space="preserve">Yaw Damping and Rudder Power     </t>
    </r>
    <r>
      <rPr>
        <b/>
        <sz val="10"/>
        <color rgb="FFFF0000"/>
        <rFont val="Arial"/>
        <family val="2"/>
        <charset val="238"/>
      </rPr>
      <t xml:space="preserve">Kryteria wymiarowania usterzenia pionowego (objętość) - tłumienie odchylenia i moc steru kierunku </t>
    </r>
    <r>
      <rPr>
        <sz val="10"/>
        <rFont val="Arial"/>
        <family val="2"/>
      </rPr>
      <t xml:space="preserve">
</t>
    </r>
    <r>
      <rPr>
        <b/>
        <sz val="10"/>
        <rFont val="Arial"/>
        <family val="2"/>
      </rPr>
      <t xml:space="preserve">
(Vv=)</t>
    </r>
  </si>
  <si>
    <r>
      <t xml:space="preserve">The primary role of the vertical tail is to provide yaw damping, which is the tendency of yaw oscillations of the aircraft to subside. The vertical tail also provides yaw stability, although this will be almost certainly ensured if the yaw damping is sufficient.                                    </t>
    </r>
    <r>
      <rPr>
        <sz val="10"/>
        <color rgb="FFFF0000"/>
        <rFont val="Arial"/>
        <family val="2"/>
        <charset val="238"/>
      </rPr>
      <t>Podstawową rolą usterzenia pionowego jest zapewnienie tłumienia odchylenia, czyli tendencji do opadania oscylacji odchylenia samolotu. Usterzenie pionowe zapewnia również stabilność odchylenia, chociaż prawie na pewno zostanie ona zapewniona, jeśli tłumienie odchylenia będzie wystarczające.</t>
    </r>
  </si>
  <si>
    <r>
      <t xml:space="preserve">Affected by </t>
    </r>
    <r>
      <rPr>
        <i/>
        <sz val="10"/>
        <rFont val="Arial"/>
        <family val="2"/>
      </rPr>
      <t xml:space="preserve">Vertical tail area </t>
    </r>
    <r>
      <rPr>
        <sz val="10"/>
        <rFont val="Arial"/>
        <family val="2"/>
      </rPr>
      <t xml:space="preserve">on vertical stab tab, </t>
    </r>
    <r>
      <rPr>
        <i/>
        <sz val="10"/>
        <rFont val="Arial"/>
        <family val="2"/>
      </rPr>
      <t>main wing area</t>
    </r>
    <r>
      <rPr>
        <sz val="10"/>
        <rFont val="Arial"/>
        <family val="2"/>
      </rPr>
      <t xml:space="preserve">, </t>
    </r>
    <r>
      <rPr>
        <i/>
        <sz val="10"/>
        <rFont val="Arial"/>
        <family val="2"/>
      </rPr>
      <t>vertical tail arm</t>
    </r>
    <r>
      <rPr>
        <sz val="10"/>
        <rFont val="Arial"/>
        <family val="2"/>
      </rPr>
      <t xml:space="preserve"> and </t>
    </r>
    <r>
      <rPr>
        <i/>
        <sz val="10"/>
        <rFont val="Arial"/>
        <family val="2"/>
      </rPr>
      <t xml:space="preserve">main wing span </t>
    </r>
    <r>
      <rPr>
        <sz val="10"/>
        <rFont val="Arial"/>
        <family val="2"/>
      </rPr>
      <t xml:space="preserve">on wing tab.                                                                               </t>
    </r>
    <r>
      <rPr>
        <b/>
        <sz val="10"/>
        <color rgb="FFFF0000"/>
        <rFont val="Arial"/>
        <family val="2"/>
        <charset val="238"/>
      </rPr>
      <t>Wpływa na pionowy obszar ogona na pionowej klapie dźgnięcia, obszar głównego skrzydła, pionowe ramię ogona i rozpiętość głównego skrzydła na klapie skrzydła.</t>
    </r>
  </si>
  <si>
    <r>
      <t xml:space="preserve">Dihedral Sizing - </t>
    </r>
    <r>
      <rPr>
        <sz val="10"/>
        <rFont val="Arial"/>
        <family val="2"/>
      </rPr>
      <t xml:space="preserve">Roll Control      </t>
    </r>
    <r>
      <rPr>
        <b/>
        <sz val="10"/>
        <color rgb="FFFF0000"/>
        <rFont val="Arial"/>
        <family val="2"/>
        <charset val="238"/>
      </rPr>
      <t xml:space="preserve">Wymiarowanie dwuścienne - kontrola przechyłu </t>
    </r>
    <r>
      <rPr>
        <b/>
        <sz val="10"/>
        <rFont val="Arial"/>
        <family val="2"/>
      </rPr>
      <t xml:space="preserve">
(VvB=)</t>
    </r>
  </si>
  <si>
    <r>
      <t xml:space="preserve">0.10 = Marginal Roll Control              - </t>
    </r>
    <r>
      <rPr>
        <sz val="10"/>
        <color rgb="FFFF0000"/>
        <rFont val="Arial"/>
        <family val="2"/>
        <charset val="238"/>
      </rPr>
      <t xml:space="preserve">Marginalna kontrola przechyłu             </t>
    </r>
    <r>
      <rPr>
        <sz val="10"/>
        <rFont val="Arial"/>
        <family val="2"/>
      </rPr>
      <t xml:space="preserve">                                   0.20 = Very Effective Roll Control             </t>
    </r>
    <r>
      <rPr>
        <sz val="10"/>
        <color rgb="FFFF0000"/>
        <rFont val="Arial"/>
        <family val="2"/>
        <charset val="238"/>
      </rPr>
      <t>Bardzo skuteczna kontrola przechyłu</t>
    </r>
  </si>
  <si>
    <r>
      <t xml:space="preserve">On rudder/elevator aircraft, the rudder acts to generate a sideslip angle, which then combines with dihedral to generate a roll moment and thus provide rollcontrol.                                         </t>
    </r>
    <r>
      <rPr>
        <b/>
        <sz val="10"/>
        <color rgb="FFFF0000"/>
        <rFont val="Arial"/>
        <family val="2"/>
        <charset val="238"/>
      </rPr>
      <t>W samolocie sterowym/sterowym ster kierunku działa w celu wygenerowania kąta poślizgu bocznego, który następnie łączy się z dwuściennym, aby wygenerować moment przechyłu, a tym samym zapewnić kontrolę przechyłu.</t>
    </r>
  </si>
  <si>
    <r>
      <t xml:space="preserve">Affected by </t>
    </r>
    <r>
      <rPr>
        <i/>
        <sz val="10"/>
        <rFont val="Arial"/>
        <family val="2"/>
      </rPr>
      <t>Spiral Stability (B)</t>
    </r>
    <r>
      <rPr>
        <sz val="10"/>
        <rFont val="Arial"/>
        <family val="2"/>
      </rPr>
      <t xml:space="preserve"> and </t>
    </r>
    <r>
      <rPr>
        <i/>
        <sz val="10"/>
        <rFont val="Arial"/>
        <family val="2"/>
      </rPr>
      <t>Equivalent Dihedral Angle (EDA)</t>
    </r>
    <r>
      <rPr>
        <sz val="10"/>
        <rFont val="Arial"/>
        <family val="2"/>
      </rPr>
      <t xml:space="preserve"> on this tab.                                                        </t>
    </r>
    <r>
      <rPr>
        <b/>
        <sz val="10"/>
        <color rgb="FFFF0000"/>
        <rFont val="Arial"/>
        <family val="2"/>
        <charset val="238"/>
      </rPr>
      <t>Ma wpływ na stateczność krzywej przejściowej (B) i równoważny kąt dwuścienny (EDA) na tej zakładce.</t>
    </r>
  </si>
  <si>
    <r>
      <t>Affected</t>
    </r>
    <r>
      <rPr>
        <i/>
        <sz val="10"/>
        <rFont val="Arial"/>
        <family val="2"/>
      </rPr>
      <t xml:space="preserve"> by Main wing dihedral</t>
    </r>
    <r>
      <rPr>
        <sz val="10"/>
        <rFont val="Arial"/>
        <family val="2"/>
      </rPr>
      <t xml:space="preserve"> and </t>
    </r>
    <r>
      <rPr>
        <i/>
        <sz val="10"/>
        <rFont val="Arial"/>
        <family val="2"/>
      </rPr>
      <t xml:space="preserve">main wing span </t>
    </r>
    <r>
      <rPr>
        <sz val="10"/>
        <rFont val="Arial"/>
        <family val="2"/>
      </rPr>
      <t xml:space="preserve">on main wing tab.                                                                     </t>
    </r>
    <r>
      <rPr>
        <b/>
        <sz val="10"/>
        <color rgb="FFFF0000"/>
        <rFont val="Arial"/>
        <family val="2"/>
        <charset val="238"/>
      </rPr>
      <t>Wpływa na dwuścian skrzydła głównego i rozpiętość skrzydła głównego na zaczepie skrzydła głównego.</t>
    </r>
  </si>
  <si>
    <t>Odległość od krawędzi spływu skrzydła do krawędzi spływu statecznika</t>
  </si>
  <si>
    <t>Odległość od krawędzi spływu skrzydła do krawędzi natarcia stabilizatora poziomego</t>
  </si>
  <si>
    <r>
      <t xml:space="preserve">mm aft of root leading edge        </t>
    </r>
    <r>
      <rPr>
        <b/>
        <sz val="10"/>
        <color rgb="FFFF0000"/>
        <rFont val="Arial"/>
        <family val="2"/>
        <charset val="238"/>
      </rPr>
      <t>mm od krawędzi natarcia cieciwy przykadłubowej</t>
    </r>
  </si>
  <si>
    <r>
      <t xml:space="preserve">mm aft of root leading edge -     </t>
    </r>
    <r>
      <rPr>
        <sz val="10"/>
        <color rgb="FFFF0000"/>
        <rFont val="Arial"/>
        <family val="2"/>
        <charset val="238"/>
      </rPr>
      <t xml:space="preserve">mm od krawędzi natarcia - cięciwy przykadłubowej </t>
    </r>
  </si>
  <si>
    <t xml:space="preserve">Szybowiec parasol                               Szybowiec lotkowy                               Szybowiec rzutowy </t>
  </si>
  <si>
    <t xml:space="preserve">Szybowiec parasol                               Szybowiec lotkowy                                </t>
  </si>
  <si>
    <r>
      <t>mm aft of root leading edge -</t>
    </r>
    <r>
      <rPr>
        <b/>
        <sz val="10"/>
        <color rgb="FFFF0000"/>
        <rFont val="Arial"/>
        <family val="2"/>
        <charset val="238"/>
      </rPr>
      <t xml:space="preserve"> odległość od krawędzi natarcia skrzydła przy kadłybie w mm</t>
    </r>
  </si>
  <si>
    <r>
      <t xml:space="preserve">mm aft of root leading edge -  </t>
    </r>
    <r>
      <rPr>
        <b/>
        <sz val="10"/>
        <color rgb="FFFF0000"/>
        <rFont val="Arial"/>
        <family val="2"/>
        <charset val="238"/>
      </rPr>
      <t>odległość od krawędzi natarcia skrzydła w mm</t>
    </r>
  </si>
  <si>
    <r>
      <rPr>
        <b/>
        <i/>
        <sz val="10"/>
        <rFont val="Arial"/>
        <family val="2"/>
      </rPr>
      <t>Note:</t>
    </r>
    <r>
      <rPr>
        <b/>
        <sz val="10"/>
        <rFont val="Arial"/>
        <family val="2"/>
      </rPr>
      <t xml:space="preserve">  Balance model forward of this location - </t>
    </r>
    <r>
      <rPr>
        <b/>
        <sz val="10"/>
        <color rgb="FFFF0000"/>
        <rFont val="Arial"/>
        <family val="2"/>
        <charset val="238"/>
      </rPr>
      <t>Uwaga: Wyważ  model przed tą lokalizacją</t>
    </r>
  </si>
  <si>
    <t>????...nie wiem co to jest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</si>
</sst>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General_)"/>
    <numFmt numFmtId="165" formatCode="0.000_)"/>
    <numFmt numFmtId="166" formatCode="0.000"/>
    <numFmt numFmtId="167" formatCode="0.0"/>
  </numFmts>
  <fonts count="87" x14ac:knownFonts="1">
    <font>
      <sz val="10"/>
      <name val="Courier"/>
    </font>
    <font>
      <sz val="10"/>
      <name val="Arial"/>
      <family val="2"/>
    </font>
    <font>
      <sz val="10"/>
      <name val="Arial"/>
      <family val="2"/>
    </font>
    <font>
      <b/>
      <sz val="14"/>
      <color indexed="16"/>
      <name val="Arial"/>
      <family val="2"/>
    </font>
    <font>
      <sz val="10"/>
      <color indexed="39"/>
      <name val="Arial"/>
      <family val="2"/>
    </font>
    <font>
      <b/>
      <sz val="10"/>
      <color indexed="12"/>
      <name val="Arial"/>
      <family val="2"/>
    </font>
    <font>
      <sz val="10"/>
      <color indexed="12"/>
      <name val="Arial"/>
      <family val="2"/>
    </font>
    <font>
      <b/>
      <sz val="10"/>
      <name val="Arial"/>
      <family val="2"/>
    </font>
    <font>
      <b/>
      <sz val="12"/>
      <color indexed="12"/>
      <name val="Arial"/>
      <family val="2"/>
    </font>
    <font>
      <sz val="10"/>
      <color indexed="12"/>
      <name val="Courier"/>
      <family val="3"/>
    </font>
    <font>
      <sz val="10"/>
      <color indexed="10"/>
      <name val="Arial"/>
      <family val="2"/>
    </font>
    <font>
      <b/>
      <sz val="8"/>
      <color indexed="81"/>
      <name val="Tahoma"/>
      <family val="2"/>
    </font>
    <font>
      <u/>
      <sz val="8"/>
      <color indexed="12"/>
      <name val="Courier"/>
      <family val="3"/>
    </font>
    <font>
      <b/>
      <sz val="14"/>
      <name val="Arial"/>
      <family val="2"/>
    </font>
    <font>
      <sz val="8"/>
      <color indexed="81"/>
      <name val="Tahoma"/>
      <family val="2"/>
    </font>
    <font>
      <sz val="9"/>
      <name val="Comic Sans MS"/>
      <family val="4"/>
    </font>
    <font>
      <sz val="9"/>
      <color indexed="10"/>
      <name val="Comic Sans MS"/>
      <family val="4"/>
    </font>
    <font>
      <sz val="9"/>
      <color indexed="12"/>
      <name val="Comic Sans MS"/>
      <family val="4"/>
    </font>
    <font>
      <b/>
      <sz val="9"/>
      <name val="Comic Sans MS"/>
      <family val="4"/>
    </font>
    <font>
      <sz val="10"/>
      <color indexed="8"/>
      <name val="Arial"/>
      <family val="2"/>
    </font>
    <font>
      <sz val="10"/>
      <color indexed="12"/>
      <name val="Arial"/>
      <family val="2"/>
    </font>
    <font>
      <b/>
      <sz val="10"/>
      <color indexed="81"/>
      <name val="Tahoma"/>
      <family val="2"/>
    </font>
    <font>
      <b/>
      <sz val="18"/>
      <color indexed="17"/>
      <name val="Arial"/>
      <family val="2"/>
    </font>
    <font>
      <i/>
      <sz val="10"/>
      <name val="Arial"/>
      <family val="2"/>
    </font>
    <font>
      <sz val="10"/>
      <name val="Comic Sans MS"/>
      <family val="4"/>
    </font>
    <font>
      <b/>
      <sz val="14"/>
      <color indexed="12"/>
      <name val="Arial"/>
      <family val="2"/>
    </font>
    <font>
      <b/>
      <sz val="18"/>
      <color indexed="48"/>
      <name val="Arial"/>
      <family val="2"/>
    </font>
    <font>
      <b/>
      <sz val="10"/>
      <color indexed="12"/>
      <name val="Tahoma"/>
      <family val="2"/>
    </font>
    <font>
      <b/>
      <sz val="10"/>
      <color indexed="10"/>
      <name val="Tahoma"/>
      <family val="2"/>
    </font>
    <font>
      <sz val="14"/>
      <name val="Arial"/>
      <family val="2"/>
    </font>
    <font>
      <sz val="7"/>
      <name val="Arial"/>
      <family val="2"/>
    </font>
    <font>
      <sz val="8"/>
      <name val="Courier"/>
      <family val="3"/>
    </font>
    <font>
      <b/>
      <sz val="12"/>
      <name val="Arial"/>
      <family val="2"/>
    </font>
    <font>
      <b/>
      <sz val="12"/>
      <color indexed="10"/>
      <name val="Arial"/>
      <family val="2"/>
    </font>
    <font>
      <sz val="12"/>
      <name val="Arial"/>
      <family val="2"/>
    </font>
    <font>
      <sz val="10"/>
      <name val="Courier"/>
      <family val="3"/>
    </font>
    <font>
      <b/>
      <sz val="10"/>
      <color indexed="10"/>
      <name val="Arial"/>
      <family val="2"/>
    </font>
    <font>
      <sz val="10"/>
      <color indexed="10"/>
      <name val="Arial"/>
      <family val="2"/>
    </font>
    <font>
      <sz val="10"/>
      <color indexed="8"/>
      <name val="Verdana"/>
      <family val="2"/>
    </font>
    <font>
      <b/>
      <sz val="12"/>
      <color indexed="62"/>
      <name val="Arial"/>
      <family val="2"/>
    </font>
    <font>
      <shadow/>
      <sz val="24"/>
      <color indexed="31"/>
      <name val="Arial Black"/>
      <family val="2"/>
    </font>
    <font>
      <sz val="11"/>
      <name val="Arial"/>
      <family val="2"/>
    </font>
    <font>
      <sz val="16"/>
      <name val="Arial"/>
      <family val="2"/>
    </font>
    <font>
      <sz val="7.5"/>
      <name val="Arial"/>
      <family val="2"/>
    </font>
    <font>
      <b/>
      <i/>
      <sz val="11"/>
      <color indexed="8"/>
      <name val="Arial"/>
      <family val="2"/>
    </font>
    <font>
      <b/>
      <i/>
      <sz val="10"/>
      <name val="Arial"/>
      <family val="2"/>
    </font>
    <font>
      <b/>
      <i/>
      <sz val="12"/>
      <name val="Arial"/>
      <family val="2"/>
    </font>
    <font>
      <b/>
      <sz val="11"/>
      <name val="Arial"/>
      <family val="2"/>
    </font>
    <font>
      <b/>
      <i/>
      <sz val="12"/>
      <color indexed="10"/>
      <name val="Arial"/>
      <family val="2"/>
    </font>
    <font>
      <i/>
      <sz val="11"/>
      <name val="Tahoma"/>
      <family val="2"/>
    </font>
    <font>
      <b/>
      <i/>
      <sz val="11"/>
      <color indexed="10"/>
      <name val="Tahoma"/>
      <family val="2"/>
    </font>
    <font>
      <b/>
      <sz val="11"/>
      <color indexed="12"/>
      <name val="Arial"/>
      <family val="2"/>
    </font>
    <font>
      <sz val="12"/>
      <color indexed="12"/>
      <name val="Comic Sans MS"/>
      <family val="4"/>
    </font>
    <font>
      <sz val="10"/>
      <color indexed="10"/>
      <name val="Arial"/>
      <family val="2"/>
    </font>
    <font>
      <u/>
      <sz val="10"/>
      <color indexed="12"/>
      <name val="Arial"/>
      <family val="2"/>
    </font>
    <font>
      <b/>
      <sz val="15"/>
      <color indexed="12"/>
      <name val="Courier"/>
      <family val="3"/>
    </font>
    <font>
      <b/>
      <sz val="24"/>
      <name val="Courier"/>
      <family val="3"/>
    </font>
    <font>
      <b/>
      <sz val="12"/>
      <color indexed="12"/>
      <name val="Arial"/>
      <family val="2"/>
    </font>
    <font>
      <b/>
      <sz val="18"/>
      <color indexed="10"/>
      <name val="Arial"/>
      <family val="2"/>
    </font>
    <font>
      <b/>
      <sz val="11"/>
      <color indexed="10"/>
      <name val="Arial"/>
      <family val="2"/>
    </font>
    <font>
      <sz val="10"/>
      <color indexed="10"/>
      <name val="Arial"/>
      <family val="2"/>
    </font>
    <font>
      <sz val="8"/>
      <name val="Courier"/>
      <family val="3"/>
    </font>
    <font>
      <b/>
      <i/>
      <sz val="10"/>
      <color indexed="81"/>
      <name val="Tahoma"/>
      <family val="2"/>
    </font>
    <font>
      <vertAlign val="superscript"/>
      <sz val="10"/>
      <name val="Arial"/>
      <family val="2"/>
    </font>
    <font>
      <b/>
      <sz val="9"/>
      <color indexed="81"/>
      <name val="Tahoma"/>
      <family val="2"/>
    </font>
    <font>
      <sz val="9"/>
      <color indexed="81"/>
      <name val="Tahoma"/>
      <family val="2"/>
    </font>
    <font>
      <b/>
      <sz val="10"/>
      <color indexed="12"/>
      <name val="Arial"/>
      <family val="2"/>
    </font>
    <font>
      <sz val="10"/>
      <color indexed="12"/>
      <name val="Courier"/>
      <family val="3"/>
    </font>
    <font>
      <b/>
      <sz val="12"/>
      <color indexed="12"/>
      <name val="Arial"/>
      <family val="2"/>
    </font>
    <font>
      <b/>
      <i/>
      <sz val="11"/>
      <name val="Arial"/>
      <family val="2"/>
    </font>
    <font>
      <b/>
      <i/>
      <sz val="11"/>
      <color indexed="12"/>
      <name val="Arial"/>
      <family val="2"/>
    </font>
    <font>
      <sz val="10"/>
      <color rgb="FF0000FF"/>
      <name val="Arial"/>
      <family val="2"/>
    </font>
    <font>
      <sz val="10"/>
      <name val="Arial"/>
      <family val="2"/>
      <charset val="238"/>
    </font>
    <font>
      <b/>
      <sz val="10"/>
      <name val="Arial"/>
      <family val="2"/>
      <charset val="238"/>
    </font>
    <font>
      <sz val="10"/>
      <name val="Segoe UI"/>
      <family val="2"/>
      <charset val="238"/>
    </font>
    <font>
      <b/>
      <sz val="10"/>
      <name val="Segoe UI"/>
      <family val="2"/>
      <charset val="238"/>
    </font>
    <font>
      <sz val="10"/>
      <color rgb="FFFF0000"/>
      <name val="Arial"/>
      <family val="2"/>
    </font>
    <font>
      <b/>
      <sz val="26"/>
      <name val="Arial"/>
      <family val="2"/>
      <charset val="238"/>
    </font>
    <font>
      <sz val="10"/>
      <color rgb="FFFF0000"/>
      <name val="Arial"/>
      <family val="2"/>
      <charset val="238"/>
    </font>
    <font>
      <b/>
      <sz val="10"/>
      <color rgb="FFFF0000"/>
      <name val="Arial"/>
      <family val="2"/>
      <charset val="238"/>
    </font>
    <font>
      <sz val="10"/>
      <color rgb="FFFF0000"/>
      <name val="Segoe UI"/>
      <family val="2"/>
      <charset val="238"/>
    </font>
    <font>
      <b/>
      <sz val="10"/>
      <color rgb="FFFF0000"/>
      <name val="Segoe UI"/>
      <family val="2"/>
      <charset val="238"/>
    </font>
    <font>
      <b/>
      <sz val="10"/>
      <color theme="3" tint="0.39997558519241921"/>
      <name val="Segoe UI"/>
      <family val="2"/>
      <charset val="238"/>
    </font>
    <font>
      <b/>
      <sz val="10"/>
      <color rgb="FFFF0000"/>
      <name val="Arial"/>
      <family val="2"/>
    </font>
    <font>
      <sz val="14"/>
      <color rgb="FFFF0000"/>
      <name val="Arial"/>
      <family val="2"/>
    </font>
    <font>
      <b/>
      <sz val="16"/>
      <color rgb="FFFF0000"/>
      <name val="Arial"/>
      <family val="2"/>
      <charset val="238"/>
    </font>
    <font>
      <sz val="18"/>
      <color rgb="FFFF0000"/>
      <name val="Arial"/>
      <family val="2"/>
    </font>
  </fonts>
  <fills count="6">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26">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right/>
      <top/>
      <bottom style="double">
        <color indexed="64"/>
      </bottom>
      <diagonal/>
    </border>
    <border>
      <left/>
      <right/>
      <top style="thin">
        <color theme="4"/>
      </top>
      <bottom/>
      <diagonal/>
    </border>
    <border>
      <left style="medium">
        <color theme="3" tint="0.39997558519241921"/>
      </left>
      <right/>
      <top style="medium">
        <color theme="3" tint="0.39997558519241921"/>
      </top>
      <bottom/>
      <diagonal/>
    </border>
    <border>
      <left/>
      <right/>
      <top style="medium">
        <color theme="3" tint="0.39997558519241921"/>
      </top>
      <bottom/>
      <diagonal/>
    </border>
    <border>
      <left/>
      <right style="medium">
        <color theme="3" tint="0.39997558519241921"/>
      </right>
      <top style="medium">
        <color theme="3" tint="0.39997558519241921"/>
      </top>
      <bottom/>
      <diagonal/>
    </border>
    <border>
      <left style="medium">
        <color theme="3" tint="0.39997558519241921"/>
      </left>
      <right/>
      <top/>
      <bottom style="medium">
        <color theme="3" tint="0.39997558519241921"/>
      </bottom>
      <diagonal/>
    </border>
    <border>
      <left/>
      <right/>
      <top/>
      <bottom style="medium">
        <color theme="3" tint="0.39997558519241921"/>
      </bottom>
      <diagonal/>
    </border>
    <border>
      <left/>
      <right style="medium">
        <color theme="3" tint="0.39997558519241921"/>
      </right>
      <top/>
      <bottom style="medium">
        <color theme="3" tint="0.39997558519241921"/>
      </bottom>
      <diagonal/>
    </border>
    <border>
      <left style="medium">
        <color theme="3" tint="0.39997558519241921"/>
      </left>
      <right/>
      <top style="medium">
        <color theme="3" tint="0.39997558519241921"/>
      </top>
      <bottom style="medium">
        <color theme="3" tint="0.39997558519241921"/>
      </bottom>
      <diagonal/>
    </border>
    <border>
      <left/>
      <right/>
      <top style="medium">
        <color theme="3" tint="0.39997558519241921"/>
      </top>
      <bottom style="medium">
        <color theme="3" tint="0.39997558519241921"/>
      </bottom>
      <diagonal/>
    </border>
    <border>
      <left/>
      <right style="medium">
        <color theme="3" tint="0.39997558519241921"/>
      </right>
      <top style="medium">
        <color theme="3" tint="0.39997558519241921"/>
      </top>
      <bottom style="medium">
        <color theme="3" tint="0.39997558519241921"/>
      </bottom>
      <diagonal/>
    </border>
    <border>
      <left style="medium">
        <color rgb="FFFF0000"/>
      </left>
      <right style="medium">
        <color rgb="FFFF0000"/>
      </right>
      <top style="medium">
        <color rgb="FFFF0000"/>
      </top>
      <bottom style="medium">
        <color rgb="FFFF0000"/>
      </bottom>
      <diagonal/>
    </border>
    <border>
      <left/>
      <right/>
      <top/>
      <bottom style="thin">
        <color rgb="FFFF0000"/>
      </bottom>
      <diagonal/>
    </border>
  </borders>
  <cellStyleXfs count="9">
    <xf numFmtId="164" fontId="0" fillId="0" borderId="0"/>
    <xf numFmtId="0" fontId="12"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1" fillId="0" borderId="0"/>
    <xf numFmtId="164" fontId="35" fillId="0" borderId="0"/>
    <xf numFmtId="0" fontId="1" fillId="0" borderId="0"/>
    <xf numFmtId="0" fontId="1" fillId="0" borderId="0"/>
    <xf numFmtId="0" fontId="1" fillId="0" borderId="0"/>
    <xf numFmtId="0" fontId="1" fillId="0" borderId="0"/>
  </cellStyleXfs>
  <cellXfs count="280">
    <xf numFmtId="164" fontId="0" fillId="0" borderId="0" xfId="0"/>
    <xf numFmtId="164" fontId="2" fillId="0" borderId="0" xfId="0" applyFont="1" applyAlignment="1">
      <alignment horizontal="left"/>
    </xf>
    <xf numFmtId="164" fontId="2" fillId="0" borderId="0" xfId="0" applyFont="1"/>
    <xf numFmtId="165" fontId="2" fillId="0" borderId="0" xfId="0" applyNumberFormat="1" applyFont="1"/>
    <xf numFmtId="164" fontId="13" fillId="0" borderId="0" xfId="0" applyFont="1"/>
    <xf numFmtId="0" fontId="15" fillId="0" borderId="0" xfId="6" applyFont="1"/>
    <xf numFmtId="0" fontId="16" fillId="0" borderId="0" xfId="6" applyFont="1"/>
    <xf numFmtId="0" fontId="6" fillId="0" borderId="0" xfId="7" applyFont="1"/>
    <xf numFmtId="164" fontId="20" fillId="0" borderId="0" xfId="7" applyNumberFormat="1" applyFont="1" applyAlignment="1">
      <alignment horizontal="left"/>
    </xf>
    <xf numFmtId="0" fontId="10" fillId="0" borderId="0" xfId="7" applyFont="1"/>
    <xf numFmtId="164" fontId="2" fillId="0" borderId="0" xfId="7" applyNumberFormat="1" applyFont="1" applyAlignment="1">
      <alignment horizontal="left"/>
    </xf>
    <xf numFmtId="0" fontId="24" fillId="0" borderId="0" xfId="6" applyFont="1"/>
    <xf numFmtId="164" fontId="26" fillId="0" borderId="0" xfId="0" applyFont="1" applyAlignment="1">
      <alignment horizontal="center"/>
    </xf>
    <xf numFmtId="164" fontId="2" fillId="0" borderId="0" xfId="0" applyFont="1" applyAlignment="1">
      <alignment horizontal="center"/>
    </xf>
    <xf numFmtId="164" fontId="6" fillId="0" borderId="0" xfId="0" applyFont="1" applyAlignment="1">
      <alignment horizontal="center"/>
    </xf>
    <xf numFmtId="164" fontId="2" fillId="0" borderId="1" xfId="0" applyFont="1" applyBorder="1"/>
    <xf numFmtId="164" fontId="2" fillId="0" borderId="0" xfId="0" applyFont="1" applyAlignment="1">
      <alignment horizontal="right"/>
    </xf>
    <xf numFmtId="167" fontId="2" fillId="0" borderId="0" xfId="0" applyNumberFormat="1" applyFont="1" applyAlignment="1">
      <alignment horizontal="center"/>
    </xf>
    <xf numFmtId="167" fontId="2" fillId="0" borderId="0" xfId="0" applyNumberFormat="1" applyFont="1"/>
    <xf numFmtId="164" fontId="22" fillId="0" borderId="0" xfId="0" applyFont="1"/>
    <xf numFmtId="164" fontId="8" fillId="0" borderId="0" xfId="0" applyFont="1" applyAlignment="1">
      <alignment horizontal="left"/>
    </xf>
    <xf numFmtId="164" fontId="2" fillId="0" borderId="2" xfId="0" applyFont="1" applyBorder="1" applyAlignment="1">
      <alignment horizontal="center"/>
    </xf>
    <xf numFmtId="164" fontId="2" fillId="0" borderId="2" xfId="0" applyFont="1" applyBorder="1"/>
    <xf numFmtId="164" fontId="6" fillId="0" borderId="2" xfId="0" applyFont="1" applyBorder="1" applyAlignment="1">
      <alignment horizontal="center"/>
    </xf>
    <xf numFmtId="164" fontId="2" fillId="0" borderId="3" xfId="0" applyFont="1" applyBorder="1" applyAlignment="1">
      <alignment horizontal="center"/>
    </xf>
    <xf numFmtId="164" fontId="2" fillId="0" borderId="1" xfId="0" applyFont="1" applyBorder="1" applyAlignment="1">
      <alignment horizontal="center"/>
    </xf>
    <xf numFmtId="164" fontId="7" fillId="0" borderId="0" xfId="0" applyFont="1" applyAlignment="1">
      <alignment horizontal="left"/>
    </xf>
    <xf numFmtId="164" fontId="9" fillId="0" borderId="0" xfId="7" applyNumberFormat="1" applyFont="1"/>
    <xf numFmtId="164" fontId="5" fillId="0" borderId="0" xfId="0" applyFont="1"/>
    <xf numFmtId="164" fontId="9" fillId="0" borderId="0" xfId="0" applyFont="1"/>
    <xf numFmtId="0" fontId="2" fillId="0" borderId="0" xfId="5" applyFont="1" applyAlignment="1">
      <alignment horizontal="center" vertical="center" wrapText="1"/>
    </xf>
    <xf numFmtId="2" fontId="2" fillId="0" borderId="5" xfId="5" applyNumberFormat="1" applyFont="1" applyBorder="1" applyAlignment="1">
      <alignment horizontal="center" vertical="center" wrapText="1"/>
    </xf>
    <xf numFmtId="2" fontId="19" fillId="0" borderId="5" xfId="5" applyNumberFormat="1" applyFont="1" applyBorder="1" applyAlignment="1">
      <alignment horizontal="center" vertical="center" wrapText="1"/>
    </xf>
    <xf numFmtId="0" fontId="7" fillId="0" borderId="0" xfId="5" applyFont="1" applyAlignment="1">
      <alignment horizontal="right" vertical="center" wrapText="1"/>
    </xf>
    <xf numFmtId="2" fontId="10" fillId="0" borderId="0" xfId="5" applyNumberFormat="1" applyFont="1" applyAlignment="1">
      <alignment horizontal="center" vertical="center" wrapText="1"/>
    </xf>
    <xf numFmtId="0" fontId="10" fillId="0" borderId="0" xfId="5" applyFont="1" applyAlignment="1">
      <alignment horizontal="left" vertical="center" wrapText="1"/>
    </xf>
    <xf numFmtId="0" fontId="2" fillId="0" borderId="0" xfId="5" applyFont="1" applyAlignment="1">
      <alignment horizontal="left" vertical="center" wrapText="1"/>
    </xf>
    <xf numFmtId="2" fontId="2" fillId="0" borderId="0" xfId="5" applyNumberFormat="1" applyFont="1" applyAlignment="1">
      <alignment horizontal="center" vertical="center" wrapText="1"/>
    </xf>
    <xf numFmtId="164" fontId="8" fillId="0" borderId="0" xfId="0" applyFont="1"/>
    <xf numFmtId="166" fontId="2" fillId="0" borderId="5" xfId="5" applyNumberFormat="1" applyFont="1" applyBorder="1" applyAlignment="1">
      <alignment horizontal="center" vertical="center" wrapText="1"/>
    </xf>
    <xf numFmtId="0" fontId="2" fillId="0" borderId="0" xfId="7" applyFont="1" applyAlignment="1">
      <alignment horizontal="right"/>
    </xf>
    <xf numFmtId="164" fontId="2" fillId="2" borderId="0" xfId="0" applyFont="1" applyFill="1" applyAlignment="1" applyProtection="1">
      <alignment horizontal="center"/>
      <protection locked="0"/>
    </xf>
    <xf numFmtId="164" fontId="2" fillId="2" borderId="2" xfId="0" applyFont="1" applyFill="1" applyBorder="1" applyAlignment="1" applyProtection="1">
      <alignment horizontal="center"/>
      <protection locked="0"/>
    </xf>
    <xf numFmtId="0" fontId="2" fillId="2" borderId="6" xfId="5" applyFont="1" applyFill="1" applyBorder="1" applyAlignment="1" applyProtection="1">
      <alignment horizontal="center" vertical="center" wrapText="1"/>
      <protection locked="0"/>
    </xf>
    <xf numFmtId="0" fontId="2" fillId="0" borderId="0" xfId="0" applyNumberFormat="1" applyFont="1" applyAlignment="1">
      <alignment vertical="center" wrapText="1"/>
    </xf>
    <xf numFmtId="164" fontId="6" fillId="0" borderId="0" xfId="0" applyFont="1" applyAlignment="1">
      <alignment horizontal="center" vertical="center" wrapText="1"/>
    </xf>
    <xf numFmtId="0" fontId="1" fillId="0" borderId="0" xfId="0" applyNumberFormat="1" applyFont="1" applyAlignment="1">
      <alignment vertical="center" wrapText="1"/>
    </xf>
    <xf numFmtId="164" fontId="2" fillId="2" borderId="0" xfId="0" applyFont="1" applyFill="1" applyAlignment="1" applyProtection="1">
      <alignment horizontal="center" vertical="center"/>
      <protection locked="0"/>
    </xf>
    <xf numFmtId="164" fontId="4" fillId="0" borderId="0" xfId="0" applyFont="1" applyAlignment="1">
      <alignment horizontal="left" vertical="center"/>
    </xf>
    <xf numFmtId="2" fontId="2" fillId="0" borderId="0" xfId="0" applyNumberFormat="1" applyFont="1" applyAlignment="1">
      <alignment horizontal="center" vertical="center"/>
    </xf>
    <xf numFmtId="0" fontId="1" fillId="0" borderId="7" xfId="5" applyBorder="1" applyAlignment="1">
      <alignment horizontal="left" vertical="center" wrapText="1"/>
    </xf>
    <xf numFmtId="0" fontId="1" fillId="0" borderId="4" xfId="5" applyBorder="1" applyAlignment="1">
      <alignment horizontal="left" vertical="center" wrapText="1"/>
    </xf>
    <xf numFmtId="0" fontId="52" fillId="0" borderId="0" xfId="0" applyNumberFormat="1" applyFont="1" applyAlignment="1">
      <alignment vertical="center" wrapText="1"/>
    </xf>
    <xf numFmtId="0" fontId="7" fillId="0" borderId="0" xfId="0" applyNumberFormat="1" applyFont="1" applyAlignment="1">
      <alignment vertical="center" wrapText="1"/>
    </xf>
    <xf numFmtId="0" fontId="7" fillId="0" borderId="8" xfId="5" applyFont="1" applyBorder="1" applyAlignment="1">
      <alignment horizontal="left" vertical="center" wrapText="1"/>
    </xf>
    <xf numFmtId="0" fontId="7" fillId="0" borderId="9" xfId="5" applyFont="1" applyBorder="1" applyAlignment="1">
      <alignment horizontal="left" vertical="center" wrapText="1"/>
    </xf>
    <xf numFmtId="0" fontId="1" fillId="0" borderId="0" xfId="5" applyAlignment="1">
      <alignment horizontal="left" vertical="center" wrapText="1"/>
    </xf>
    <xf numFmtId="164" fontId="2" fillId="0" borderId="0" xfId="0" applyFont="1" applyAlignment="1">
      <alignment horizontal="center" vertical="center"/>
    </xf>
    <xf numFmtId="164" fontId="6" fillId="0" borderId="0" xfId="0" applyFont="1" applyAlignment="1">
      <alignment horizontal="center" vertical="center"/>
    </xf>
    <xf numFmtId="2" fontId="6" fillId="0" borderId="0" xfId="0" applyNumberFormat="1" applyFont="1" applyAlignment="1">
      <alignment horizontal="center" vertical="center"/>
    </xf>
    <xf numFmtId="164" fontId="10" fillId="0" borderId="0" xfId="0" applyFont="1" applyAlignment="1">
      <alignment horizontal="center" vertical="center"/>
    </xf>
    <xf numFmtId="2" fontId="10" fillId="0" borderId="0" xfId="0" applyNumberFormat="1" applyFont="1" applyAlignment="1">
      <alignment horizontal="center" vertical="center"/>
    </xf>
    <xf numFmtId="2" fontId="6" fillId="2" borderId="0" xfId="0" applyNumberFormat="1" applyFont="1" applyFill="1" applyAlignment="1" applyProtection="1">
      <alignment horizontal="center" vertical="center"/>
      <protection locked="0"/>
    </xf>
    <xf numFmtId="164" fontId="7" fillId="0" borderId="0" xfId="0" applyFont="1" applyAlignment="1">
      <alignment horizontal="center" vertical="center"/>
    </xf>
    <xf numFmtId="167" fontId="2" fillId="0" borderId="0" xfId="0" applyNumberFormat="1" applyFont="1" applyAlignment="1">
      <alignment horizontal="center" vertical="center"/>
    </xf>
    <xf numFmtId="2" fontId="2" fillId="2" borderId="0" xfId="0" applyNumberFormat="1" applyFont="1" applyFill="1" applyAlignment="1" applyProtection="1">
      <alignment horizontal="center" vertical="center"/>
      <protection locked="0"/>
    </xf>
    <xf numFmtId="166" fontId="2" fillId="0" borderId="0" xfId="0" applyNumberFormat="1" applyFont="1" applyAlignment="1">
      <alignment horizontal="center" vertical="center"/>
    </xf>
    <xf numFmtId="164" fontId="3" fillId="0" borderId="0" xfId="0" applyFont="1" applyAlignment="1">
      <alignment horizontal="left" vertical="center"/>
    </xf>
    <xf numFmtId="164" fontId="2" fillId="0" borderId="0" xfId="0" applyFont="1" applyAlignment="1">
      <alignment vertical="center"/>
    </xf>
    <xf numFmtId="2" fontId="2" fillId="0" borderId="0" xfId="0" applyNumberFormat="1" applyFont="1" applyAlignment="1">
      <alignment vertical="center"/>
    </xf>
    <xf numFmtId="164" fontId="32" fillId="0" borderId="0" xfId="0" applyFont="1" applyAlignment="1">
      <alignment vertical="center"/>
    </xf>
    <xf numFmtId="164" fontId="6" fillId="0" borderId="0" xfId="0" applyFont="1" applyAlignment="1">
      <alignment horizontal="left" vertical="center"/>
    </xf>
    <xf numFmtId="164" fontId="2" fillId="0" borderId="0" xfId="0" applyFont="1" applyAlignment="1">
      <alignment horizontal="left" vertical="center"/>
    </xf>
    <xf numFmtId="167" fontId="2" fillId="0" borderId="0" xfId="0" applyNumberFormat="1" applyFont="1" applyAlignment="1">
      <alignment horizontal="right" vertical="center"/>
    </xf>
    <xf numFmtId="2" fontId="2" fillId="0" borderId="0" xfId="0" applyNumberFormat="1" applyFont="1" applyAlignment="1">
      <alignment horizontal="right" vertical="center"/>
    </xf>
    <xf numFmtId="2" fontId="2" fillId="0" borderId="0" xfId="0" applyNumberFormat="1" applyFont="1" applyAlignment="1">
      <alignment horizontal="left" vertical="center"/>
    </xf>
    <xf numFmtId="9" fontId="2" fillId="0" borderId="0" xfId="0" applyNumberFormat="1" applyFont="1" applyAlignment="1">
      <alignment horizontal="left" vertical="center"/>
    </xf>
    <xf numFmtId="0" fontId="7" fillId="0" borderId="0" xfId="5" applyFont="1" applyAlignment="1">
      <alignment vertical="center"/>
    </xf>
    <xf numFmtId="166" fontId="2" fillId="0" borderId="0" xfId="0" applyNumberFormat="1" applyFont="1" applyAlignment="1">
      <alignment horizontal="right" vertical="center"/>
    </xf>
    <xf numFmtId="164" fontId="7" fillId="0" borderId="0" xfId="0" applyFont="1" applyAlignment="1">
      <alignment vertical="center"/>
    </xf>
    <xf numFmtId="0" fontId="15" fillId="0" borderId="0" xfId="6" applyFont="1" applyAlignment="1">
      <alignment vertical="center"/>
    </xf>
    <xf numFmtId="164" fontId="7" fillId="0" borderId="0" xfId="0" applyFont="1" applyAlignment="1">
      <alignment horizontal="left" vertical="center"/>
    </xf>
    <xf numFmtId="0" fontId="7" fillId="0" borderId="0" xfId="0" applyNumberFormat="1" applyFont="1" applyAlignment="1">
      <alignment vertical="center"/>
    </xf>
    <xf numFmtId="0" fontId="15" fillId="0" borderId="0" xfId="6" applyFont="1" applyAlignment="1">
      <alignment horizontal="center" vertical="center"/>
    </xf>
    <xf numFmtId="164" fontId="17" fillId="0" borderId="0" xfId="6" applyNumberFormat="1" applyFont="1" applyAlignment="1">
      <alignment horizontal="center" vertical="center"/>
    </xf>
    <xf numFmtId="0" fontId="18" fillId="0" borderId="0" xfId="6" applyFont="1" applyAlignment="1">
      <alignment horizontal="center" vertical="center"/>
    </xf>
    <xf numFmtId="164" fontId="16" fillId="0" borderId="0" xfId="6" applyNumberFormat="1" applyFont="1" applyAlignment="1">
      <alignment horizontal="center" vertical="center"/>
    </xf>
    <xf numFmtId="164" fontId="17" fillId="3" borderId="0" xfId="6" applyNumberFormat="1" applyFont="1" applyFill="1" applyAlignment="1">
      <alignment horizontal="center" vertical="center"/>
    </xf>
    <xf numFmtId="164" fontId="15" fillId="0" borderId="0" xfId="6" applyNumberFormat="1" applyFont="1" applyAlignment="1">
      <alignment horizontal="center" vertical="center"/>
    </xf>
    <xf numFmtId="0" fontId="17" fillId="0" borderId="0" xfId="6" applyFont="1" applyAlignment="1">
      <alignment horizontal="center" vertical="center"/>
    </xf>
    <xf numFmtId="0" fontId="16" fillId="0" borderId="0" xfId="6" applyFont="1" applyAlignment="1">
      <alignment vertical="center"/>
    </xf>
    <xf numFmtId="164" fontId="2" fillId="0" borderId="1" xfId="0" applyFont="1" applyBorder="1" applyAlignment="1">
      <alignment vertical="center"/>
    </xf>
    <xf numFmtId="164" fontId="1" fillId="0" borderId="0" xfId="0" applyFont="1" applyAlignment="1">
      <alignment horizontal="center" vertical="center"/>
    </xf>
    <xf numFmtId="164" fontId="1" fillId="0" borderId="0" xfId="0" applyFont="1" applyAlignment="1">
      <alignment horizontal="right" vertical="center"/>
    </xf>
    <xf numFmtId="2" fontId="1" fillId="0" borderId="0" xfId="0" applyNumberFormat="1" applyFont="1" applyAlignment="1">
      <alignment horizontal="center" vertical="center"/>
    </xf>
    <xf numFmtId="2" fontId="1" fillId="0" borderId="0" xfId="0" applyNumberFormat="1" applyFont="1" applyAlignment="1">
      <alignment vertical="center"/>
    </xf>
    <xf numFmtId="2" fontId="1" fillId="0" borderId="0" xfId="0" applyNumberFormat="1" applyFont="1" applyAlignment="1">
      <alignment horizontal="left" vertical="center"/>
    </xf>
    <xf numFmtId="164" fontId="1" fillId="0" borderId="0" xfId="0" applyFont="1" applyAlignment="1">
      <alignment vertical="center"/>
    </xf>
    <xf numFmtId="2" fontId="53" fillId="0" borderId="0" xfId="0" applyNumberFormat="1" applyFont="1" applyAlignment="1">
      <alignment vertical="center"/>
    </xf>
    <xf numFmtId="164" fontId="1" fillId="0" borderId="0" xfId="0" applyFont="1" applyAlignment="1">
      <alignment horizontal="left" vertical="center"/>
    </xf>
    <xf numFmtId="164" fontId="10" fillId="0" borderId="0" xfId="0" applyFont="1" applyAlignment="1">
      <alignment horizontal="left" vertical="center"/>
    </xf>
    <xf numFmtId="165" fontId="2" fillId="0" borderId="0" xfId="0" applyNumberFormat="1" applyFont="1" applyAlignment="1">
      <alignment vertical="center"/>
    </xf>
    <xf numFmtId="164" fontId="53" fillId="0" borderId="0" xfId="0" applyFont="1" applyAlignment="1">
      <alignment vertical="center"/>
    </xf>
    <xf numFmtId="2" fontId="10" fillId="0" borderId="0" xfId="0" applyNumberFormat="1" applyFont="1" applyAlignment="1">
      <alignment horizontal="right" vertical="center"/>
    </xf>
    <xf numFmtId="1" fontId="2" fillId="0" borderId="0" xfId="0" applyNumberFormat="1" applyFont="1" applyAlignment="1">
      <alignment horizontal="center" vertical="center"/>
    </xf>
    <xf numFmtId="2" fontId="37" fillId="0" borderId="0" xfId="0" applyNumberFormat="1" applyFont="1" applyAlignment="1">
      <alignment vertical="center"/>
    </xf>
    <xf numFmtId="164" fontId="37" fillId="0" borderId="0" xfId="0" applyFont="1" applyAlignment="1">
      <alignment vertical="center"/>
    </xf>
    <xf numFmtId="0" fontId="2" fillId="0" borderId="0" xfId="0" applyNumberFormat="1" applyFont="1" applyAlignment="1">
      <alignment horizontal="left" vertical="center"/>
    </xf>
    <xf numFmtId="2" fontId="1" fillId="0" borderId="0" xfId="0" applyNumberFormat="1" applyFont="1" applyAlignment="1">
      <alignment horizontal="right" vertical="center"/>
    </xf>
    <xf numFmtId="164" fontId="42" fillId="0" borderId="0" xfId="0" applyFont="1" applyAlignment="1">
      <alignment vertical="center"/>
    </xf>
    <xf numFmtId="164" fontId="19" fillId="0" borderId="0" xfId="0" applyFont="1" applyAlignment="1">
      <alignment vertical="center" wrapText="1"/>
    </xf>
    <xf numFmtId="49" fontId="2" fillId="0" borderId="0" xfId="0" applyNumberFormat="1" applyFont="1" applyAlignment="1">
      <alignment vertical="center" wrapText="1"/>
    </xf>
    <xf numFmtId="164" fontId="40" fillId="0" borderId="0" xfId="0" applyFont="1" applyAlignment="1">
      <alignment horizontal="center" vertical="center"/>
    </xf>
    <xf numFmtId="164" fontId="23" fillId="0" borderId="0" xfId="0" applyFont="1" applyAlignment="1">
      <alignment vertical="center"/>
    </xf>
    <xf numFmtId="164" fontId="43" fillId="0" borderId="0" xfId="0" applyFont="1" applyAlignment="1">
      <alignment vertical="center"/>
    </xf>
    <xf numFmtId="164" fontId="41" fillId="0" borderId="0" xfId="0" applyFont="1" applyAlignment="1">
      <alignment vertical="center"/>
    </xf>
    <xf numFmtId="164" fontId="38" fillId="0" borderId="0" xfId="0" applyFont="1" applyAlignment="1">
      <alignment vertical="center"/>
    </xf>
    <xf numFmtId="164" fontId="0" fillId="0" borderId="0" xfId="0" applyAlignment="1">
      <alignment vertical="center"/>
    </xf>
    <xf numFmtId="164" fontId="1" fillId="0" borderId="7" xfId="0" applyFont="1" applyBorder="1" applyAlignment="1">
      <alignment horizontal="left" vertical="center" wrapText="1"/>
    </xf>
    <xf numFmtId="0" fontId="1" fillId="0" borderId="0" xfId="8" applyAlignment="1">
      <alignment vertical="center"/>
    </xf>
    <xf numFmtId="164" fontId="8" fillId="0" borderId="0" xfId="8" applyNumberFormat="1" applyFont="1" applyAlignment="1">
      <alignment vertical="center"/>
    </xf>
    <xf numFmtId="0" fontId="1" fillId="0" borderId="0" xfId="8" applyAlignment="1">
      <alignment horizontal="center" vertical="center"/>
    </xf>
    <xf numFmtId="2" fontId="2" fillId="0" borderId="0" xfId="8" applyNumberFormat="1" applyFont="1" applyAlignment="1">
      <alignment horizontal="center" vertical="center"/>
    </xf>
    <xf numFmtId="166" fontId="1" fillId="0" borderId="0" xfId="8" applyNumberFormat="1" applyAlignment="1">
      <alignment horizontal="center" vertical="center"/>
    </xf>
    <xf numFmtId="0" fontId="8" fillId="0" borderId="0" xfId="8" applyFont="1" applyAlignment="1">
      <alignment vertical="center"/>
    </xf>
    <xf numFmtId="2" fontId="1" fillId="0" borderId="0" xfId="8" applyNumberFormat="1" applyAlignment="1">
      <alignment horizontal="center" vertical="center"/>
    </xf>
    <xf numFmtId="0" fontId="7" fillId="0" borderId="0" xfId="8" applyFont="1" applyAlignment="1">
      <alignment vertical="center"/>
    </xf>
    <xf numFmtId="2" fontId="1" fillId="0" borderId="7" xfId="8" applyNumberFormat="1" applyBorder="1" applyAlignment="1">
      <alignment horizontal="center" vertical="center"/>
    </xf>
    <xf numFmtId="166" fontId="1" fillId="0" borderId="7" xfId="8" applyNumberFormat="1" applyBorder="1" applyAlignment="1">
      <alignment horizontal="center" vertical="center"/>
    </xf>
    <xf numFmtId="2" fontId="2" fillId="0" borderId="10" xfId="8" applyNumberFormat="1" applyFont="1" applyBorder="1" applyAlignment="1">
      <alignment horizontal="center" vertical="center"/>
    </xf>
    <xf numFmtId="2" fontId="2" fillId="0" borderId="7" xfId="8" applyNumberFormat="1" applyFont="1" applyBorder="1" applyAlignment="1">
      <alignment horizontal="center" vertical="center"/>
    </xf>
    <xf numFmtId="2" fontId="2" fillId="0" borderId="7" xfId="7" applyNumberFormat="1" applyFont="1" applyBorder="1" applyAlignment="1">
      <alignment horizontal="center" vertical="center"/>
    </xf>
    <xf numFmtId="0" fontId="2" fillId="0" borderId="0" xfId="5" applyFont="1" applyAlignment="1">
      <alignment vertical="center"/>
    </xf>
    <xf numFmtId="0" fontId="2" fillId="0" borderId="0" xfId="5" applyFont="1" applyAlignment="1">
      <alignment horizontal="center" vertical="center"/>
    </xf>
    <xf numFmtId="0" fontId="22" fillId="0" borderId="0" xfId="5" applyFont="1" applyAlignment="1">
      <alignment horizontal="center" vertical="center"/>
    </xf>
    <xf numFmtId="0" fontId="2" fillId="0" borderId="0" xfId="5" applyFont="1" applyAlignment="1">
      <alignment horizontal="left" vertical="center"/>
    </xf>
    <xf numFmtId="0" fontId="2" fillId="0" borderId="4" xfId="5" applyFont="1" applyBorder="1" applyAlignment="1">
      <alignment horizontal="center" vertical="center"/>
    </xf>
    <xf numFmtId="2" fontId="2" fillId="0" borderId="0" xfId="5" applyNumberFormat="1" applyFont="1" applyAlignment="1">
      <alignment horizontal="left" vertical="center"/>
    </xf>
    <xf numFmtId="2" fontId="2" fillId="0" borderId="0" xfId="5" applyNumberFormat="1" applyFont="1" applyAlignment="1">
      <alignment horizontal="center" vertical="center"/>
    </xf>
    <xf numFmtId="167" fontId="53" fillId="0" borderId="0" xfId="5" applyNumberFormat="1" applyFont="1" applyAlignment="1">
      <alignment horizontal="center" vertical="center"/>
    </xf>
    <xf numFmtId="0" fontId="53" fillId="0" borderId="0" xfId="5" applyFont="1" applyAlignment="1">
      <alignment horizontal="center" vertical="center"/>
    </xf>
    <xf numFmtId="2" fontId="53" fillId="0" borderId="0" xfId="5" applyNumberFormat="1" applyFont="1" applyAlignment="1">
      <alignment horizontal="center" vertical="center"/>
    </xf>
    <xf numFmtId="164" fontId="34" fillId="0" borderId="0" xfId="0" applyFont="1" applyAlignment="1">
      <alignment vertical="center"/>
    </xf>
    <xf numFmtId="164" fontId="49" fillId="0" borderId="0" xfId="0" applyFont="1" applyAlignment="1">
      <alignment vertical="center"/>
    </xf>
    <xf numFmtId="0" fontId="51" fillId="0" borderId="11" xfId="5" applyFont="1" applyBorder="1" applyAlignment="1">
      <alignment horizontal="center" vertical="center" wrapText="1"/>
    </xf>
    <xf numFmtId="0" fontId="51" fillId="0" borderId="11" xfId="5" applyFont="1" applyBorder="1" applyAlignment="1">
      <alignment horizontal="center" vertical="center"/>
    </xf>
    <xf numFmtId="0" fontId="47" fillId="0" borderId="0" xfId="5" applyFont="1" applyAlignment="1">
      <alignment horizontal="center" vertical="center"/>
    </xf>
    <xf numFmtId="0" fontId="47" fillId="0" borderId="0" xfId="5" applyFont="1" applyAlignment="1">
      <alignment horizontal="left" vertical="center"/>
    </xf>
    <xf numFmtId="2" fontId="1" fillId="0" borderId="12" xfId="5" applyNumberFormat="1" applyBorder="1" applyAlignment="1">
      <alignment horizontal="center" vertical="center"/>
    </xf>
    <xf numFmtId="0" fontId="2" fillId="0" borderId="0" xfId="0" applyNumberFormat="1" applyFont="1" applyAlignment="1">
      <alignment vertical="distributed" wrapText="1"/>
    </xf>
    <xf numFmtId="0" fontId="7" fillId="0" borderId="0" xfId="0" applyNumberFormat="1" applyFont="1" applyAlignment="1">
      <alignment vertical="distributed" wrapText="1"/>
    </xf>
    <xf numFmtId="0" fontId="1" fillId="0" borderId="0" xfId="0" applyNumberFormat="1" applyFont="1" applyAlignment="1">
      <alignment vertical="distributed" wrapText="1"/>
    </xf>
    <xf numFmtId="164" fontId="7" fillId="3" borderId="0" xfId="0" applyFont="1" applyFill="1" applyAlignment="1">
      <alignment vertical="distributed" wrapText="1"/>
    </xf>
    <xf numFmtId="164" fontId="2" fillId="3" borderId="0" xfId="0" applyFont="1" applyFill="1" applyAlignment="1">
      <alignment vertical="distributed" wrapText="1"/>
    </xf>
    <xf numFmtId="164" fontId="2" fillId="0" borderId="0" xfId="0" applyFont="1" applyAlignment="1">
      <alignment vertical="distributed" wrapText="1"/>
    </xf>
    <xf numFmtId="0" fontId="2" fillId="0" borderId="0" xfId="8" applyFont="1" applyAlignment="1">
      <alignment vertical="center"/>
    </xf>
    <xf numFmtId="164" fontId="2" fillId="0" borderId="0" xfId="8" applyNumberFormat="1" applyFont="1" applyAlignment="1">
      <alignment vertical="center"/>
    </xf>
    <xf numFmtId="164" fontId="1" fillId="0" borderId="0" xfId="8" applyNumberFormat="1" applyAlignment="1">
      <alignment vertical="center"/>
    </xf>
    <xf numFmtId="0" fontId="2" fillId="0" borderId="0" xfId="7" applyFont="1" applyAlignment="1">
      <alignment vertical="center"/>
    </xf>
    <xf numFmtId="0" fontId="5" fillId="0" borderId="0" xfId="5" applyFont="1" applyAlignment="1">
      <alignment vertical="center" wrapText="1"/>
    </xf>
    <xf numFmtId="0" fontId="1" fillId="0" borderId="0" xfId="5" applyAlignment="1">
      <alignment vertical="center"/>
    </xf>
    <xf numFmtId="0" fontId="1" fillId="0" borderId="0" xfId="5" applyAlignment="1">
      <alignment vertical="center" wrapText="1"/>
    </xf>
    <xf numFmtId="0" fontId="2" fillId="0" borderId="0" xfId="5" applyFont="1" applyAlignment="1">
      <alignment vertical="center" wrapText="1"/>
    </xf>
    <xf numFmtId="0" fontId="23" fillId="0" borderId="0" xfId="5" applyFont="1" applyAlignment="1">
      <alignment vertical="center" wrapText="1"/>
    </xf>
    <xf numFmtId="0" fontId="30" fillId="0" borderId="0" xfId="0" applyNumberFormat="1" applyFont="1" applyAlignment="1">
      <alignment vertical="center" wrapText="1"/>
    </xf>
    <xf numFmtId="164" fontId="0" fillId="0" borderId="13" xfId="0" applyBorder="1"/>
    <xf numFmtId="164" fontId="1" fillId="0" borderId="0" xfId="0" applyFont="1"/>
    <xf numFmtId="164" fontId="0" fillId="0" borderId="0" xfId="0" applyAlignment="1">
      <alignment horizontal="right"/>
    </xf>
    <xf numFmtId="164" fontId="55" fillId="0" borderId="0" xfId="1" applyNumberFormat="1" applyFont="1" applyAlignment="1" applyProtection="1"/>
    <xf numFmtId="164" fontId="56" fillId="0" borderId="0" xfId="0" applyFont="1"/>
    <xf numFmtId="49" fontId="1" fillId="0" borderId="0" xfId="0" applyNumberFormat="1" applyFont="1" applyAlignment="1">
      <alignment vertical="center" wrapText="1"/>
    </xf>
    <xf numFmtId="167" fontId="2" fillId="0" borderId="0" xfId="0" applyNumberFormat="1" applyFont="1" applyAlignment="1" applyProtection="1">
      <alignment horizontal="center" vertical="center"/>
      <protection locked="0"/>
    </xf>
    <xf numFmtId="167" fontId="57" fillId="0" borderId="0" xfId="0" applyNumberFormat="1" applyFont="1" applyAlignment="1" applyProtection="1">
      <alignment horizontal="center" vertical="center"/>
      <protection locked="0"/>
    </xf>
    <xf numFmtId="164" fontId="0" fillId="0" borderId="0" xfId="0" applyAlignment="1">
      <alignment horizontal="center" vertical="center"/>
    </xf>
    <xf numFmtId="2" fontId="1" fillId="0" borderId="0" xfId="0" applyNumberFormat="1" applyFont="1" applyAlignment="1" applyProtection="1">
      <alignment horizontal="left" vertical="center"/>
      <protection locked="0"/>
    </xf>
    <xf numFmtId="167" fontId="1" fillId="0" borderId="0" xfId="0" applyNumberFormat="1" applyFont="1" applyAlignment="1" applyProtection="1">
      <alignment horizontal="left" vertical="center"/>
      <protection locked="0"/>
    </xf>
    <xf numFmtId="167" fontId="1" fillId="0" borderId="0" xfId="0" applyNumberFormat="1" applyFont="1" applyAlignment="1">
      <alignment horizontal="right" vertical="center"/>
    </xf>
    <xf numFmtId="164" fontId="7" fillId="0" borderId="0" xfId="0" applyFont="1" applyAlignment="1">
      <alignment horizontal="center" vertical="center" wrapText="1"/>
    </xf>
    <xf numFmtId="166" fontId="2" fillId="0" borderId="0" xfId="5" applyNumberFormat="1" applyFont="1" applyAlignment="1">
      <alignment horizontal="center" vertical="center"/>
    </xf>
    <xf numFmtId="0" fontId="58" fillId="0" borderId="0" xfId="5" applyFont="1" applyAlignment="1">
      <alignment horizontal="center" vertical="center"/>
    </xf>
    <xf numFmtId="0" fontId="59" fillId="0" borderId="0" xfId="5" applyFont="1" applyAlignment="1">
      <alignment horizontal="center" vertical="center"/>
    </xf>
    <xf numFmtId="0" fontId="60" fillId="0" borderId="0" xfId="5" applyFont="1" applyAlignment="1">
      <alignment horizontal="center" vertical="center" wrapText="1"/>
    </xf>
    <xf numFmtId="0" fontId="60" fillId="0" borderId="0" xfId="5" applyFont="1" applyAlignment="1">
      <alignment horizontal="left" vertical="center" wrapText="1"/>
    </xf>
    <xf numFmtId="2" fontId="60" fillId="0" borderId="0" xfId="5" applyNumberFormat="1" applyFont="1" applyAlignment="1">
      <alignment horizontal="center" vertical="center"/>
    </xf>
    <xf numFmtId="0" fontId="60" fillId="0" borderId="0" xfId="5" applyFont="1" applyAlignment="1">
      <alignment horizontal="center" vertical="center"/>
    </xf>
    <xf numFmtId="0" fontId="7" fillId="0" borderId="0" xfId="5" applyFont="1" applyAlignment="1">
      <alignment horizontal="center" vertical="center"/>
    </xf>
    <xf numFmtId="1" fontId="2" fillId="0" borderId="0" xfId="0" applyNumberFormat="1" applyFont="1" applyAlignment="1">
      <alignment vertical="center"/>
    </xf>
    <xf numFmtId="164" fontId="2" fillId="0" borderId="0" xfId="0" applyFont="1" applyAlignment="1">
      <alignment horizontal="right" vertical="center"/>
    </xf>
    <xf numFmtId="2" fontId="1" fillId="0" borderId="0" xfId="0" applyNumberFormat="1" applyFont="1"/>
    <xf numFmtId="2" fontId="1" fillId="0" borderId="0" xfId="7" applyNumberFormat="1" applyAlignment="1">
      <alignment horizontal="right"/>
    </xf>
    <xf numFmtId="164" fontId="35" fillId="0" borderId="0" xfId="0" applyFont="1" applyAlignment="1">
      <alignment vertical="center"/>
    </xf>
    <xf numFmtId="0" fontId="8" fillId="0" borderId="0" xfId="8" applyFont="1" applyAlignment="1">
      <alignment horizontal="center" vertical="center"/>
    </xf>
    <xf numFmtId="2" fontId="1" fillId="0" borderId="0" xfId="6" applyNumberFormat="1" applyAlignment="1">
      <alignment vertical="center"/>
    </xf>
    <xf numFmtId="164" fontId="1" fillId="0" borderId="0" xfId="7" applyNumberFormat="1" applyAlignment="1">
      <alignment horizontal="left"/>
    </xf>
    <xf numFmtId="164" fontId="1" fillId="0" borderId="0" xfId="0" applyFont="1" applyAlignment="1">
      <alignment horizontal="left"/>
    </xf>
    <xf numFmtId="164" fontId="1" fillId="0" borderId="0" xfId="7" applyNumberFormat="1" applyAlignment="1">
      <alignment vertical="center"/>
    </xf>
    <xf numFmtId="0" fontId="1" fillId="0" borderId="0" xfId="7" applyAlignment="1">
      <alignment vertical="center"/>
    </xf>
    <xf numFmtId="164" fontId="68" fillId="0" borderId="0" xfId="0" applyFont="1" applyAlignment="1">
      <alignment horizontal="left" vertical="center"/>
    </xf>
    <xf numFmtId="1" fontId="1" fillId="0" borderId="0" xfId="0" applyNumberFormat="1" applyFont="1" applyAlignment="1">
      <alignment horizontal="center" vertical="center"/>
    </xf>
    <xf numFmtId="164" fontId="8" fillId="0" borderId="0" xfId="0" applyFont="1" applyAlignment="1">
      <alignment horizontal="left" vertical="center"/>
    </xf>
    <xf numFmtId="167" fontId="1" fillId="2" borderId="0" xfId="0" applyNumberFormat="1" applyFont="1" applyFill="1" applyAlignment="1" applyProtection="1">
      <alignment horizontal="center" vertical="center"/>
      <protection locked="0"/>
    </xf>
    <xf numFmtId="167" fontId="1" fillId="0" borderId="0" xfId="0" applyNumberFormat="1" applyFont="1" applyAlignment="1">
      <alignment vertical="center"/>
    </xf>
    <xf numFmtId="1" fontId="2" fillId="3" borderId="0" xfId="0" applyNumberFormat="1" applyFont="1" applyFill="1" applyAlignment="1" applyProtection="1">
      <alignment horizontal="center" vertical="center"/>
      <protection locked="0"/>
    </xf>
    <xf numFmtId="2" fontId="1" fillId="2" borderId="0" xfId="0" applyNumberFormat="1" applyFont="1" applyFill="1" applyAlignment="1" applyProtection="1">
      <alignment horizontal="center" vertical="center"/>
      <protection locked="0"/>
    </xf>
    <xf numFmtId="164" fontId="7" fillId="0" borderId="0" xfId="0" applyFont="1" applyAlignment="1">
      <alignment horizontal="center"/>
    </xf>
    <xf numFmtId="164" fontId="1" fillId="0" borderId="0" xfId="0" applyFont="1" applyAlignment="1">
      <alignment horizontal="center"/>
    </xf>
    <xf numFmtId="164" fontId="0" fillId="0" borderId="0" xfId="0" applyAlignment="1">
      <alignment horizontal="center"/>
    </xf>
    <xf numFmtId="2" fontId="1" fillId="4" borderId="0" xfId="0" applyNumberFormat="1" applyFont="1" applyFill="1"/>
    <xf numFmtId="164" fontId="71" fillId="0" borderId="0" xfId="0" applyFont="1"/>
    <xf numFmtId="167" fontId="1" fillId="5" borderId="0" xfId="0" applyNumberFormat="1" applyFont="1" applyFill="1" applyProtection="1">
      <protection locked="0"/>
    </xf>
    <xf numFmtId="164" fontId="72" fillId="0" borderId="0" xfId="0" applyFont="1" applyAlignment="1">
      <alignment wrapText="1"/>
    </xf>
    <xf numFmtId="0" fontId="73" fillId="0" borderId="0" xfId="0" applyNumberFormat="1" applyFont="1" applyAlignment="1">
      <alignment vertical="center" wrapText="1"/>
    </xf>
    <xf numFmtId="164" fontId="73" fillId="0" borderId="0" xfId="0" applyFont="1" applyAlignment="1">
      <alignment wrapText="1"/>
    </xf>
    <xf numFmtId="164" fontId="73" fillId="0" borderId="0" xfId="0" applyFont="1"/>
    <xf numFmtId="164" fontId="74" fillId="0" borderId="0" xfId="0" applyFont="1" applyAlignment="1">
      <alignment vertical="center" wrapText="1"/>
    </xf>
    <xf numFmtId="164" fontId="74" fillId="0" borderId="0" xfId="0" applyFont="1" applyAlignment="1">
      <alignment vertical="center"/>
    </xf>
    <xf numFmtId="0" fontId="73" fillId="0" borderId="0" xfId="0" applyNumberFormat="1" applyFont="1" applyAlignment="1">
      <alignment vertical="distributed" wrapText="1"/>
    </xf>
    <xf numFmtId="164" fontId="75" fillId="0" borderId="0" xfId="0" applyFont="1" applyAlignment="1">
      <alignment vertical="center"/>
    </xf>
    <xf numFmtId="164" fontId="74" fillId="0" borderId="0" xfId="0" applyFont="1"/>
    <xf numFmtId="164" fontId="75" fillId="0" borderId="0" xfId="0" applyFont="1"/>
    <xf numFmtId="164" fontId="76" fillId="0" borderId="0" xfId="0" applyFont="1" applyAlignment="1">
      <alignment vertical="distributed" wrapText="1"/>
    </xf>
    <xf numFmtId="0" fontId="76" fillId="0" borderId="0" xfId="0" applyNumberFormat="1" applyFont="1" applyAlignment="1">
      <alignment vertical="distributed" wrapText="1"/>
    </xf>
    <xf numFmtId="0" fontId="2" fillId="0" borderId="0" xfId="0" applyNumberFormat="1" applyFont="1" applyAlignment="1">
      <alignment vertical="distributed"/>
    </xf>
    <xf numFmtId="164" fontId="74" fillId="0" borderId="0" xfId="0" applyFont="1" applyAlignment="1">
      <alignment horizontal="left" wrapText="1"/>
    </xf>
    <xf numFmtId="0" fontId="1" fillId="0" borderId="0" xfId="8" applyAlignment="1">
      <alignment vertical="center" wrapText="1"/>
    </xf>
    <xf numFmtId="164" fontId="80" fillId="0" borderId="0" xfId="0" applyFont="1" applyAlignment="1">
      <alignment vertical="center"/>
    </xf>
    <xf numFmtId="2" fontId="4" fillId="0" borderId="0" xfId="0" applyNumberFormat="1" applyFont="1" applyAlignment="1">
      <alignment horizontal="center" vertical="center" wrapText="1"/>
    </xf>
    <xf numFmtId="164" fontId="76" fillId="0" borderId="0" xfId="0" applyFont="1" applyAlignment="1">
      <alignment vertical="center"/>
    </xf>
    <xf numFmtId="164" fontId="1" fillId="0" borderId="14" xfId="0" applyFont="1" applyBorder="1" applyAlignment="1">
      <alignment horizontal="right" vertical="center"/>
    </xf>
    <xf numFmtId="164" fontId="2" fillId="0" borderId="20" xfId="0" applyFont="1" applyBorder="1" applyAlignment="1">
      <alignment vertical="center"/>
    </xf>
    <xf numFmtId="164" fontId="80" fillId="0" borderId="22" xfId="0" applyFont="1" applyBorder="1" applyAlignment="1">
      <alignment vertical="center"/>
    </xf>
    <xf numFmtId="164" fontId="2" fillId="0" borderId="22" xfId="0" applyFont="1" applyBorder="1" applyAlignment="1">
      <alignment vertical="center"/>
    </xf>
    <xf numFmtId="164" fontId="2" fillId="0" borderId="23" xfId="0" applyFont="1" applyBorder="1" applyAlignment="1">
      <alignment vertical="center"/>
    </xf>
    <xf numFmtId="164" fontId="81" fillId="0" borderId="0" xfId="0" applyFont="1" applyAlignment="1">
      <alignment vertical="center"/>
    </xf>
    <xf numFmtId="164" fontId="82" fillId="0" borderId="0" xfId="0" applyFont="1" applyAlignment="1">
      <alignment vertical="center"/>
    </xf>
    <xf numFmtId="164" fontId="74" fillId="0" borderId="0" xfId="0" applyFont="1" applyAlignment="1">
      <alignment horizontal="left" vertical="center"/>
    </xf>
    <xf numFmtId="164" fontId="83" fillId="0" borderId="0" xfId="0" applyFont="1" applyAlignment="1">
      <alignment horizontal="left"/>
    </xf>
    <xf numFmtId="164" fontId="76" fillId="0" borderId="0" xfId="0" applyFont="1" applyAlignment="1">
      <alignment horizontal="center"/>
    </xf>
    <xf numFmtId="164" fontId="79" fillId="0" borderId="0" xfId="0" applyFont="1"/>
    <xf numFmtId="164" fontId="82" fillId="0" borderId="0" xfId="0" applyFont="1" applyAlignment="1">
      <alignment horizontal="center" vertical="center" wrapText="1"/>
    </xf>
    <xf numFmtId="164" fontId="82" fillId="0" borderId="0" xfId="0" applyFont="1" applyAlignment="1">
      <alignment horizontal="center" vertical="center"/>
    </xf>
    <xf numFmtId="164" fontId="79" fillId="0" borderId="0" xfId="0" applyFont="1" applyAlignment="1">
      <alignment vertical="center"/>
    </xf>
    <xf numFmtId="164" fontId="79" fillId="0" borderId="0" xfId="0" applyFont="1" applyAlignment="1">
      <alignment horizontal="left" vertical="center"/>
    </xf>
    <xf numFmtId="167" fontId="2" fillId="2" borderId="24" xfId="0" applyNumberFormat="1" applyFont="1" applyFill="1" applyBorder="1" applyAlignment="1" applyProtection="1">
      <alignment horizontal="center" vertical="center"/>
      <protection locked="0"/>
    </xf>
    <xf numFmtId="167" fontId="86" fillId="2" borderId="24" xfId="0" applyNumberFormat="1" applyFont="1" applyFill="1" applyBorder="1" applyAlignment="1" applyProtection="1">
      <alignment horizontal="center" vertical="center"/>
      <protection locked="0"/>
    </xf>
    <xf numFmtId="164" fontId="76" fillId="0" borderId="0" xfId="0" applyFont="1" applyAlignment="1">
      <alignment horizontal="center" vertical="center"/>
    </xf>
    <xf numFmtId="164" fontId="78" fillId="0" borderId="0" xfId="0" applyFont="1"/>
    <xf numFmtId="164" fontId="84" fillId="0" borderId="0" xfId="0" applyFont="1"/>
    <xf numFmtId="164" fontId="5" fillId="0" borderId="0" xfId="0" applyFont="1" applyAlignment="1">
      <alignment horizontal="center" vertical="center"/>
    </xf>
    <xf numFmtId="164" fontId="0" fillId="0" borderId="0" xfId="0" applyAlignment="1">
      <alignment horizontal="center" vertical="center"/>
    </xf>
    <xf numFmtId="164" fontId="7" fillId="0" borderId="0" xfId="0" applyFont="1" applyAlignment="1">
      <alignment horizontal="center" vertical="center"/>
    </xf>
    <xf numFmtId="164" fontId="1" fillId="0" borderId="0" xfId="0" applyFont="1" applyAlignment="1">
      <alignment horizontal="center" vertical="center"/>
    </xf>
    <xf numFmtId="164" fontId="35" fillId="0" borderId="0" xfId="0" applyFont="1" applyAlignment="1">
      <alignment horizontal="center" vertical="center"/>
    </xf>
    <xf numFmtId="164" fontId="6" fillId="0" borderId="21" xfId="0" applyFont="1" applyBorder="1" applyAlignment="1">
      <alignment horizontal="left" vertical="center" wrapText="1"/>
    </xf>
    <xf numFmtId="164" fontId="2" fillId="0" borderId="22" xfId="0" applyFont="1" applyBorder="1" applyAlignment="1">
      <alignment vertical="center" wrapText="1"/>
    </xf>
    <xf numFmtId="164" fontId="6" fillId="0" borderId="18" xfId="0" applyFont="1" applyBorder="1" applyAlignment="1">
      <alignment horizontal="left" vertical="center" wrapText="1"/>
    </xf>
    <xf numFmtId="164" fontId="2" fillId="0" borderId="19" xfId="0" applyFont="1" applyBorder="1" applyAlignment="1">
      <alignment vertical="center" wrapText="1"/>
    </xf>
    <xf numFmtId="164" fontId="2" fillId="0" borderId="0" xfId="0" applyFont="1" applyAlignment="1">
      <alignment horizontal="center" vertical="center"/>
    </xf>
    <xf numFmtId="164" fontId="25" fillId="0" borderId="0" xfId="0" applyFont="1" applyAlignment="1">
      <alignment horizontal="center" vertical="center"/>
    </xf>
    <xf numFmtId="164" fontId="29" fillId="0" borderId="0" xfId="0" applyFont="1" applyAlignment="1">
      <alignment horizontal="center" vertical="center"/>
    </xf>
    <xf numFmtId="164" fontId="80" fillId="0" borderId="15" xfId="0" applyFont="1" applyBorder="1" applyAlignment="1">
      <alignment horizontal="left" vertical="center" wrapText="1"/>
    </xf>
    <xf numFmtId="164" fontId="80" fillId="0" borderId="16" xfId="0" applyFont="1" applyBorder="1" applyAlignment="1">
      <alignment horizontal="left" vertical="center" wrapText="1"/>
    </xf>
    <xf numFmtId="164" fontId="80" fillId="0" borderId="17" xfId="0" applyFont="1" applyBorder="1" applyAlignment="1">
      <alignment horizontal="left" vertical="center" wrapText="1"/>
    </xf>
    <xf numFmtId="164" fontId="81" fillId="0" borderId="0" xfId="0" applyFont="1" applyAlignment="1">
      <alignment horizontal="left" vertical="center" wrapText="1"/>
    </xf>
    <xf numFmtId="164" fontId="8" fillId="0" borderId="0" xfId="0" applyFont="1" applyAlignment="1">
      <alignment horizontal="center" vertical="center"/>
    </xf>
    <xf numFmtId="164" fontId="66" fillId="0" borderId="0" xfId="0" applyFont="1" applyAlignment="1">
      <alignment horizontal="center" vertical="center"/>
    </xf>
    <xf numFmtId="164" fontId="67" fillId="0" borderId="0" xfId="0" applyFont="1" applyAlignment="1">
      <alignment horizontal="center" vertical="center"/>
    </xf>
    <xf numFmtId="164" fontId="67" fillId="0" borderId="0" xfId="0" applyFont="1" applyAlignment="1">
      <alignment vertical="center"/>
    </xf>
    <xf numFmtId="164" fontId="81" fillId="0" borderId="0" xfId="0" applyFont="1" applyAlignment="1">
      <alignment horizontal="center" vertical="center"/>
    </xf>
    <xf numFmtId="167" fontId="57" fillId="0" borderId="25" xfId="0" applyNumberFormat="1" applyFont="1" applyBorder="1" applyAlignment="1" applyProtection="1">
      <alignment horizontal="center" vertical="center"/>
      <protection locked="0"/>
    </xf>
    <xf numFmtId="164" fontId="0" fillId="0" borderId="25" xfId="0" applyBorder="1" applyAlignment="1">
      <alignment horizontal="center" vertical="center"/>
    </xf>
    <xf numFmtId="164" fontId="85" fillId="0" borderId="0" xfId="0" applyFont="1" applyAlignment="1">
      <alignment horizontal="center" vertical="center"/>
    </xf>
    <xf numFmtId="164" fontId="82" fillId="0" borderId="0" xfId="0" applyFont="1" applyAlignment="1">
      <alignment horizontal="center" vertical="center" wrapText="1"/>
    </xf>
    <xf numFmtId="164" fontId="82" fillId="0" borderId="0" xfId="0" applyFont="1" applyAlignment="1">
      <alignment vertical="center" wrapText="1"/>
    </xf>
    <xf numFmtId="164" fontId="8" fillId="0" borderId="0" xfId="8" applyNumberFormat="1" applyFont="1" applyAlignment="1">
      <alignment vertical="center"/>
    </xf>
    <xf numFmtId="0" fontId="34" fillId="0" borderId="0" xfId="8" applyFont="1" applyAlignment="1">
      <alignment vertical="center"/>
    </xf>
    <xf numFmtId="0" fontId="76" fillId="0" borderId="0" xfId="8" applyFont="1" applyAlignment="1">
      <alignment horizontal="left" vertical="center" wrapText="1"/>
    </xf>
    <xf numFmtId="0" fontId="77" fillId="0" borderId="0" xfId="0" applyNumberFormat="1" applyFont="1" applyAlignment="1">
      <alignment horizontal="center" vertical="distributed" wrapText="1"/>
    </xf>
    <xf numFmtId="164" fontId="55" fillId="0" borderId="0" xfId="1" applyNumberFormat="1" applyFont="1" applyAlignment="1" applyProtection="1"/>
    <xf numFmtId="164" fontId="35" fillId="0" borderId="0" xfId="0" applyFont="1"/>
  </cellXfs>
  <cellStyles count="9">
    <cellStyle name="Hiperłącze" xfId="1" builtinId="8"/>
    <cellStyle name="Hyperlink 2" xfId="2" xr:uid="{00000000-0005-0000-0000-000001000000}"/>
    <cellStyle name="Normal 2" xfId="3" xr:uid="{00000000-0005-0000-0000-000003000000}"/>
    <cellStyle name="Normal 3" xfId="4" xr:uid="{00000000-0005-0000-0000-000004000000}"/>
    <cellStyle name="Normal_Book1" xfId="5" xr:uid="{00000000-0005-0000-0000-000005000000}"/>
    <cellStyle name="Normal_Flying" xfId="6" xr:uid="{00000000-0005-0000-0000-000006000000}"/>
    <cellStyle name="Normal_SAILBAL" xfId="7" xr:uid="{00000000-0005-0000-0000-000007000000}"/>
    <cellStyle name="Normal_Sailplane Calc Form" xfId="8" xr:uid="{00000000-0005-0000-0000-000008000000}"/>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CC"/>
                </a:solidFill>
                <a:latin typeface="Comic Sans MS"/>
                <a:ea typeface="Comic Sans MS"/>
                <a:cs typeface="Comic Sans MS"/>
              </a:defRPr>
            </a:pPr>
            <a:r>
              <a:rPr lang="pl-PL"/>
              <a:t>Czy towje skrzydło wygląda tak ?</a:t>
            </a:r>
            <a:endParaRPr lang="en-US"/>
          </a:p>
        </c:rich>
      </c:tx>
      <c:layout>
        <c:manualLayout>
          <c:xMode val="edge"/>
          <c:yMode val="edge"/>
          <c:x val="0.3495145969161717"/>
          <c:y val="3.5584757321788535E-2"/>
        </c:manualLayout>
      </c:layout>
      <c:overlay val="0"/>
      <c:spPr>
        <a:noFill/>
        <a:ln w="25400">
          <a:noFill/>
        </a:ln>
      </c:spPr>
    </c:title>
    <c:autoTitleDeleted val="0"/>
    <c:plotArea>
      <c:layout>
        <c:manualLayout>
          <c:layoutTarget val="inner"/>
          <c:xMode val="edge"/>
          <c:yMode val="edge"/>
          <c:x val="8.168028004667445E-2"/>
          <c:y val="0.12300829171822376"/>
          <c:w val="0.88798133022170367"/>
          <c:h val="0.71294467501907088"/>
        </c:manualLayout>
      </c:layout>
      <c:scatterChart>
        <c:scatterStyle val="lineMarker"/>
        <c:varyColors val="0"/>
        <c:ser>
          <c:idx val="0"/>
          <c:order val="0"/>
          <c:spPr>
            <a:ln w="25400">
              <a:solidFill>
                <a:srgbClr val="800000"/>
              </a:solidFill>
              <a:prstDash val="solid"/>
            </a:ln>
          </c:spPr>
          <c:marker>
            <c:symbol val="none"/>
          </c:marker>
          <c:xVal>
            <c:numRef>
              <c:f>Wing!$F$23:$F$27</c:f>
              <c:numCache>
                <c:formatCode>General_)</c:formatCode>
                <c:ptCount val="5"/>
                <c:pt idx="0">
                  <c:v>0</c:v>
                </c:pt>
                <c:pt idx="1">
                  <c:v>0</c:v>
                </c:pt>
                <c:pt idx="2">
                  <c:v>600</c:v>
                </c:pt>
                <c:pt idx="3">
                  <c:v>600</c:v>
                </c:pt>
                <c:pt idx="4">
                  <c:v>0</c:v>
                </c:pt>
              </c:numCache>
            </c:numRef>
          </c:xVal>
          <c:yVal>
            <c:numRef>
              <c:f>Wing!$G$23:$G$27</c:f>
              <c:numCache>
                <c:formatCode>General_)</c:formatCode>
                <c:ptCount val="5"/>
                <c:pt idx="0">
                  <c:v>0</c:v>
                </c:pt>
                <c:pt idx="1">
                  <c:v>170</c:v>
                </c:pt>
                <c:pt idx="2">
                  <c:v>170</c:v>
                </c:pt>
                <c:pt idx="3">
                  <c:v>0</c:v>
                </c:pt>
                <c:pt idx="4">
                  <c:v>0</c:v>
                </c:pt>
              </c:numCache>
            </c:numRef>
          </c:yVal>
          <c:smooth val="0"/>
          <c:extLst>
            <c:ext xmlns:c16="http://schemas.microsoft.com/office/drawing/2014/chart" uri="{C3380CC4-5D6E-409C-BE32-E72D297353CC}">
              <c16:uniqueId val="{00000000-8854-469C-ABD3-80E8EF61ED4E}"/>
            </c:ext>
          </c:extLst>
        </c:ser>
        <c:ser>
          <c:idx val="1"/>
          <c:order val="1"/>
          <c:spPr>
            <a:ln w="25400">
              <a:solidFill>
                <a:srgbClr val="800000"/>
              </a:solidFill>
              <a:prstDash val="solid"/>
            </a:ln>
          </c:spPr>
          <c:marker>
            <c:symbol val="none"/>
          </c:marker>
          <c:xVal>
            <c:numRef>
              <c:f>Wing!$H$23:$H$26</c:f>
              <c:numCache>
                <c:formatCode>General_)</c:formatCode>
                <c:ptCount val="4"/>
                <c:pt idx="0">
                  <c:v>600</c:v>
                </c:pt>
                <c:pt idx="1">
                  <c:v>680</c:v>
                </c:pt>
                <c:pt idx="2">
                  <c:v>680</c:v>
                </c:pt>
                <c:pt idx="3">
                  <c:v>600</c:v>
                </c:pt>
              </c:numCache>
            </c:numRef>
          </c:xVal>
          <c:yVal>
            <c:numRef>
              <c:f>Wing!$I$23:$I$26</c:f>
              <c:numCache>
                <c:formatCode>General_)</c:formatCode>
                <c:ptCount val="4"/>
                <c:pt idx="0">
                  <c:v>170</c:v>
                </c:pt>
                <c:pt idx="1">
                  <c:v>170</c:v>
                </c:pt>
                <c:pt idx="2">
                  <c:v>15</c:v>
                </c:pt>
                <c:pt idx="3">
                  <c:v>0</c:v>
                </c:pt>
              </c:numCache>
            </c:numRef>
          </c:yVal>
          <c:smooth val="0"/>
          <c:extLst>
            <c:ext xmlns:c16="http://schemas.microsoft.com/office/drawing/2014/chart" uri="{C3380CC4-5D6E-409C-BE32-E72D297353CC}">
              <c16:uniqueId val="{00000001-8854-469C-ABD3-80E8EF61ED4E}"/>
            </c:ext>
          </c:extLst>
        </c:ser>
        <c:ser>
          <c:idx val="2"/>
          <c:order val="2"/>
          <c:spPr>
            <a:ln w="25400">
              <a:solidFill>
                <a:srgbClr val="800000"/>
              </a:solidFill>
              <a:prstDash val="solid"/>
            </a:ln>
          </c:spPr>
          <c:marker>
            <c:symbol val="none"/>
          </c:marker>
          <c:xVal>
            <c:numRef>
              <c:f>Wing!$J$23:$J$26</c:f>
              <c:numCache>
                <c:formatCode>General_)</c:formatCode>
                <c:ptCount val="4"/>
                <c:pt idx="0">
                  <c:v>680</c:v>
                </c:pt>
                <c:pt idx="1">
                  <c:v>755</c:v>
                </c:pt>
                <c:pt idx="2">
                  <c:v>755</c:v>
                </c:pt>
                <c:pt idx="3">
                  <c:v>680</c:v>
                </c:pt>
              </c:numCache>
            </c:numRef>
          </c:xVal>
          <c:yVal>
            <c:numRef>
              <c:f>Wing!$K$23:$K$26</c:f>
              <c:numCache>
                <c:formatCode>General_)</c:formatCode>
                <c:ptCount val="4"/>
                <c:pt idx="0">
                  <c:v>170</c:v>
                </c:pt>
                <c:pt idx="1">
                  <c:v>155</c:v>
                </c:pt>
                <c:pt idx="2">
                  <c:v>65</c:v>
                </c:pt>
                <c:pt idx="3">
                  <c:v>15</c:v>
                </c:pt>
              </c:numCache>
            </c:numRef>
          </c:yVal>
          <c:smooth val="0"/>
          <c:extLst>
            <c:ext xmlns:c16="http://schemas.microsoft.com/office/drawing/2014/chart" uri="{C3380CC4-5D6E-409C-BE32-E72D297353CC}">
              <c16:uniqueId val="{00000002-8854-469C-ABD3-80E8EF61ED4E}"/>
            </c:ext>
          </c:extLst>
        </c:ser>
        <c:ser>
          <c:idx val="3"/>
          <c:order val="3"/>
          <c:spPr>
            <a:ln w="12700">
              <a:solidFill>
                <a:srgbClr val="800000"/>
              </a:solidFill>
              <a:prstDash val="solid"/>
            </a:ln>
          </c:spPr>
          <c:marker>
            <c:symbol val="diamond"/>
            <c:size val="8"/>
            <c:spPr>
              <a:solidFill>
                <a:srgbClr val="0000FF"/>
              </a:solidFill>
              <a:ln>
                <a:solidFill>
                  <a:srgbClr val="0000FF"/>
                </a:solidFill>
                <a:prstDash val="solid"/>
              </a:ln>
            </c:spPr>
          </c:marker>
          <c:xVal>
            <c:numRef>
              <c:f>Wing!$L$15</c:f>
              <c:numCache>
                <c:formatCode>General_)</c:formatCode>
                <c:ptCount val="1"/>
              </c:numCache>
            </c:numRef>
          </c:xVal>
          <c:yVal>
            <c:numRef>
              <c:f>Wing!$M$15</c:f>
              <c:numCache>
                <c:formatCode>0.00</c:formatCode>
                <c:ptCount val="1"/>
              </c:numCache>
            </c:numRef>
          </c:yVal>
          <c:smooth val="0"/>
          <c:extLst>
            <c:ext xmlns:c16="http://schemas.microsoft.com/office/drawing/2014/chart" uri="{C3380CC4-5D6E-409C-BE32-E72D297353CC}">
              <c16:uniqueId val="{00000003-8854-469C-ABD3-80E8EF61ED4E}"/>
            </c:ext>
          </c:extLst>
        </c:ser>
        <c:ser>
          <c:idx val="4"/>
          <c:order val="4"/>
          <c:spPr>
            <a:ln w="12700">
              <a:solidFill>
                <a:srgbClr val="800080"/>
              </a:solidFill>
              <a:prstDash val="solid"/>
            </a:ln>
          </c:spPr>
          <c:marker>
            <c:symbol val="dash"/>
            <c:size val="9"/>
            <c:spPr>
              <a:solidFill>
                <a:srgbClr val="FF0000"/>
              </a:solidFill>
              <a:ln>
                <a:solidFill>
                  <a:srgbClr val="FF0000"/>
                </a:solidFill>
                <a:prstDash val="solid"/>
              </a:ln>
            </c:spPr>
          </c:marker>
          <c:xVal>
            <c:numLit>
              <c:formatCode>General</c:formatCode>
              <c:ptCount val="1"/>
              <c:pt idx="0">
                <c:v>0</c:v>
              </c:pt>
            </c:numLit>
          </c:xVal>
          <c:yVal>
            <c:numRef>
              <c:f>Wing!$M$16</c:f>
              <c:numCache>
                <c:formatCode>0.00</c:formatCode>
                <c:ptCount val="1"/>
              </c:numCache>
            </c:numRef>
          </c:yVal>
          <c:smooth val="0"/>
          <c:extLst>
            <c:ext xmlns:c16="http://schemas.microsoft.com/office/drawing/2014/chart" uri="{C3380CC4-5D6E-409C-BE32-E72D297353CC}">
              <c16:uniqueId val="{00000004-8854-469C-ABD3-80E8EF61ED4E}"/>
            </c:ext>
          </c:extLst>
        </c:ser>
        <c:ser>
          <c:idx val="5"/>
          <c:order val="5"/>
          <c:spPr>
            <a:ln w="25400">
              <a:solidFill>
                <a:srgbClr val="800000"/>
              </a:solidFill>
              <a:prstDash val="solid"/>
            </a:ln>
          </c:spPr>
          <c:marker>
            <c:symbol val="square"/>
            <c:size val="3"/>
            <c:spPr>
              <a:noFill/>
              <a:ln w="9525">
                <a:noFill/>
              </a:ln>
            </c:spPr>
          </c:marker>
          <c:xVal>
            <c:numRef>
              <c:f>Wing!$L$23:$L$26</c:f>
              <c:numCache>
                <c:formatCode>General_)</c:formatCode>
                <c:ptCount val="4"/>
                <c:pt idx="0">
                  <c:v>755</c:v>
                </c:pt>
                <c:pt idx="1">
                  <c:v>755</c:v>
                </c:pt>
                <c:pt idx="2">
                  <c:v>755</c:v>
                </c:pt>
                <c:pt idx="3">
                  <c:v>755</c:v>
                </c:pt>
              </c:numCache>
            </c:numRef>
          </c:xVal>
          <c:yVal>
            <c:numRef>
              <c:f>Wing!$M$23:$M$26</c:f>
              <c:numCache>
                <c:formatCode>General_)</c:formatCode>
                <c:ptCount val="4"/>
                <c:pt idx="0">
                  <c:v>155</c:v>
                </c:pt>
                <c:pt idx="1">
                  <c:v>155</c:v>
                </c:pt>
                <c:pt idx="2">
                  <c:v>155</c:v>
                </c:pt>
                <c:pt idx="3">
                  <c:v>65</c:v>
                </c:pt>
              </c:numCache>
            </c:numRef>
          </c:yVal>
          <c:smooth val="0"/>
          <c:extLst>
            <c:ext xmlns:c16="http://schemas.microsoft.com/office/drawing/2014/chart" uri="{C3380CC4-5D6E-409C-BE32-E72D297353CC}">
              <c16:uniqueId val="{00000005-8854-469C-ABD3-80E8EF61ED4E}"/>
            </c:ext>
          </c:extLst>
        </c:ser>
        <c:ser>
          <c:idx val="6"/>
          <c:order val="6"/>
          <c:tx>
            <c:v>NP</c:v>
          </c:tx>
          <c:spPr>
            <a:ln w="25400" cmpd="sng">
              <a:solidFill>
                <a:srgbClr val="FF0000"/>
              </a:solidFill>
            </a:ln>
          </c:spPr>
          <c:marker>
            <c:symbol val="triangle"/>
            <c:size val="7"/>
            <c:spPr>
              <a:solidFill>
                <a:srgbClr val="FF0000"/>
              </a:solidFill>
              <a:ln w="25400" cmpd="sng">
                <a:solidFill>
                  <a:srgbClr val="FF0000"/>
                </a:solidFill>
              </a:ln>
            </c:spPr>
          </c:marker>
          <c:dPt>
            <c:idx val="0"/>
            <c:bubble3D val="0"/>
            <c:extLst>
              <c:ext xmlns:c16="http://schemas.microsoft.com/office/drawing/2014/chart" uri="{C3380CC4-5D6E-409C-BE32-E72D297353CC}">
                <c16:uniqueId val="{00000006-8854-469C-ABD3-80E8EF61ED4E}"/>
              </c:ext>
            </c:extLst>
          </c:dPt>
          <c:xVal>
            <c:numRef>
              <c:f>Wing!$F$29</c:f>
              <c:numCache>
                <c:formatCode>General_)</c:formatCode>
                <c:ptCount val="1"/>
                <c:pt idx="0">
                  <c:v>0</c:v>
                </c:pt>
              </c:numCache>
            </c:numRef>
          </c:xVal>
          <c:yVal>
            <c:numRef>
              <c:f>Wing!$G$29</c:f>
              <c:numCache>
                <c:formatCode>0.00</c:formatCode>
                <c:ptCount val="1"/>
                <c:pt idx="0">
                  <c:v>128.01283341721188</c:v>
                </c:pt>
              </c:numCache>
            </c:numRef>
          </c:yVal>
          <c:smooth val="0"/>
          <c:extLst>
            <c:ext xmlns:c16="http://schemas.microsoft.com/office/drawing/2014/chart" uri="{C3380CC4-5D6E-409C-BE32-E72D297353CC}">
              <c16:uniqueId val="{00000007-8854-469C-ABD3-80E8EF61ED4E}"/>
            </c:ext>
          </c:extLst>
        </c:ser>
        <c:ser>
          <c:idx val="7"/>
          <c:order val="7"/>
          <c:tx>
            <c:v>MAC</c:v>
          </c:tx>
          <c:spPr>
            <a:ln w="25400">
              <a:solidFill>
                <a:srgbClr val="0033CC"/>
              </a:solidFill>
            </a:ln>
          </c:spPr>
          <c:marker>
            <c:symbol val="none"/>
          </c:marker>
          <c:xVal>
            <c:numRef>
              <c:f>Wing!$F$31:$F$32</c:f>
              <c:numCache>
                <c:formatCode>0.00</c:formatCode>
                <c:ptCount val="2"/>
                <c:pt idx="0">
                  <c:v>366.16859587317566</c:v>
                </c:pt>
                <c:pt idx="1">
                  <c:v>366.16859587317566</c:v>
                </c:pt>
              </c:numCache>
            </c:numRef>
          </c:xVal>
          <c:yVal>
            <c:numRef>
              <c:f>Wing!$G$31:$G$32</c:f>
              <c:numCache>
                <c:formatCode>0.00</c:formatCode>
                <c:ptCount val="2"/>
                <c:pt idx="0">
                  <c:v>169.49421238047307</c:v>
                </c:pt>
                <c:pt idx="1">
                  <c:v>3.5686965274283011</c:v>
                </c:pt>
              </c:numCache>
            </c:numRef>
          </c:yVal>
          <c:smooth val="0"/>
          <c:extLst>
            <c:ext xmlns:c16="http://schemas.microsoft.com/office/drawing/2014/chart" uri="{C3380CC4-5D6E-409C-BE32-E72D297353CC}">
              <c16:uniqueId val="{00000008-8854-469C-ABD3-80E8EF61ED4E}"/>
            </c:ext>
          </c:extLst>
        </c:ser>
        <c:ser>
          <c:idx val="8"/>
          <c:order val="8"/>
          <c:spPr>
            <a:ln>
              <a:solidFill>
                <a:srgbClr val="FF0000"/>
              </a:solidFill>
              <a:prstDash val="dash"/>
            </a:ln>
          </c:spPr>
          <c:marker>
            <c:symbol val="none"/>
          </c:marker>
          <c:xVal>
            <c:numRef>
              <c:f>Wing!$I$29:$J$29</c:f>
              <c:numCache>
                <c:formatCode>0.00</c:formatCode>
                <c:ptCount val="2"/>
                <c:pt idx="0">
                  <c:v>0</c:v>
                </c:pt>
                <c:pt idx="1">
                  <c:v>366.16859587317566</c:v>
                </c:pt>
              </c:numCache>
            </c:numRef>
          </c:xVal>
          <c:yVal>
            <c:numRef>
              <c:f>Wing!$I$30:$J$30</c:f>
              <c:numCache>
                <c:formatCode>0.00</c:formatCode>
                <c:ptCount val="2"/>
                <c:pt idx="0">
                  <c:v>128.01283341721188</c:v>
                </c:pt>
                <c:pt idx="1">
                  <c:v>128.01283341721188</c:v>
                </c:pt>
              </c:numCache>
            </c:numRef>
          </c:yVal>
          <c:smooth val="0"/>
          <c:extLst>
            <c:ext xmlns:c16="http://schemas.microsoft.com/office/drawing/2014/chart" uri="{C3380CC4-5D6E-409C-BE32-E72D297353CC}">
              <c16:uniqueId val="{00000009-8854-469C-ABD3-80E8EF61ED4E}"/>
            </c:ext>
          </c:extLst>
        </c:ser>
        <c:dLbls>
          <c:showLegendKey val="0"/>
          <c:showVal val="0"/>
          <c:showCatName val="0"/>
          <c:showSerName val="0"/>
          <c:showPercent val="0"/>
          <c:showBubbleSize val="0"/>
        </c:dLbls>
        <c:axId val="158272128"/>
        <c:axId val="164476416"/>
      </c:scatterChart>
      <c:valAx>
        <c:axId val="158272128"/>
        <c:scaling>
          <c:orientation val="minMax"/>
        </c:scaling>
        <c:delete val="0"/>
        <c:axPos val="b"/>
        <c:majorGridlines>
          <c:spPr>
            <a:ln w="3175">
              <a:solidFill>
                <a:srgbClr val="969696"/>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mm</a:t>
                </a:r>
              </a:p>
            </c:rich>
          </c:tx>
          <c:layout>
            <c:manualLayout>
              <c:xMode val="edge"/>
              <c:yMode val="edge"/>
              <c:x val="0.48994978367430098"/>
              <c:y val="0.89671127315982058"/>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164476416"/>
        <c:crosses val="autoZero"/>
        <c:crossBetween val="midCat"/>
      </c:valAx>
      <c:valAx>
        <c:axId val="164476416"/>
        <c:scaling>
          <c:orientation val="minMax"/>
        </c:scaling>
        <c:delete val="0"/>
        <c:axPos val="l"/>
        <c:majorGridlines>
          <c:spPr>
            <a:ln w="3175">
              <a:solidFill>
                <a:srgbClr val="969696"/>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mm</a:t>
                </a:r>
              </a:p>
            </c:rich>
          </c:tx>
          <c:layout>
            <c:manualLayout>
              <c:xMode val="edge"/>
              <c:yMode val="edge"/>
              <c:x val="1.4687735950814367E-2"/>
              <c:y val="0.36428661934499568"/>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15827212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FF"/>
                </a:solidFill>
                <a:latin typeface="Comic Sans MS"/>
                <a:ea typeface="Comic Sans MS"/>
                <a:cs typeface="Comic Sans MS"/>
              </a:defRPr>
            </a:pPr>
            <a:r>
              <a:rPr lang="en-US"/>
              <a:t>Does your Horizontal Tail look like this?</a:t>
            </a:r>
          </a:p>
        </c:rich>
      </c:tx>
      <c:layout>
        <c:manualLayout>
          <c:xMode val="edge"/>
          <c:yMode val="edge"/>
          <c:x val="0.17622950819672131"/>
          <c:y val="4.1322314049586778E-2"/>
        </c:manualLayout>
      </c:layout>
      <c:overlay val="0"/>
      <c:spPr>
        <a:noFill/>
        <a:ln w="25400">
          <a:noFill/>
        </a:ln>
      </c:spPr>
    </c:title>
    <c:autoTitleDeleted val="0"/>
    <c:plotArea>
      <c:layout>
        <c:manualLayout>
          <c:layoutTarget val="inner"/>
          <c:xMode val="edge"/>
          <c:yMode val="edge"/>
          <c:x val="0.1554057472149212"/>
          <c:y val="0.18359410017795597"/>
          <c:w val="0.78829002210467281"/>
          <c:h val="0.60817943211643999"/>
        </c:manualLayout>
      </c:layout>
      <c:scatterChart>
        <c:scatterStyle val="lineMarker"/>
        <c:varyColors val="0"/>
        <c:ser>
          <c:idx val="0"/>
          <c:order val="0"/>
          <c:spPr>
            <a:ln w="25400">
              <a:solidFill>
                <a:srgbClr val="800000"/>
              </a:solidFill>
              <a:prstDash val="solid"/>
            </a:ln>
          </c:spPr>
          <c:marker>
            <c:symbol val="none"/>
          </c:marker>
          <c:xVal>
            <c:numRef>
              <c:f>'Horizontal Stabilizer'!$H$13:$H$17</c:f>
              <c:numCache>
                <c:formatCode>General_)</c:formatCode>
                <c:ptCount val="5"/>
                <c:pt idx="0">
                  <c:v>0</c:v>
                </c:pt>
                <c:pt idx="1">
                  <c:v>0</c:v>
                </c:pt>
                <c:pt idx="2">
                  <c:v>230</c:v>
                </c:pt>
                <c:pt idx="3">
                  <c:v>230</c:v>
                </c:pt>
                <c:pt idx="4">
                  <c:v>0</c:v>
                </c:pt>
              </c:numCache>
            </c:numRef>
          </c:xVal>
          <c:yVal>
            <c:numRef>
              <c:f>'Horizontal Stabilizer'!$I$13:$I$17</c:f>
              <c:numCache>
                <c:formatCode>General_)</c:formatCode>
                <c:ptCount val="5"/>
                <c:pt idx="0">
                  <c:v>0</c:v>
                </c:pt>
                <c:pt idx="1">
                  <c:v>160</c:v>
                </c:pt>
                <c:pt idx="2">
                  <c:v>105</c:v>
                </c:pt>
                <c:pt idx="3">
                  <c:v>45</c:v>
                </c:pt>
                <c:pt idx="4">
                  <c:v>0</c:v>
                </c:pt>
              </c:numCache>
            </c:numRef>
          </c:yVal>
          <c:smooth val="0"/>
          <c:extLst>
            <c:ext xmlns:c16="http://schemas.microsoft.com/office/drawing/2014/chart" uri="{C3380CC4-5D6E-409C-BE32-E72D297353CC}">
              <c16:uniqueId val="{00000000-3F4A-4F04-9FFC-D9B11445DA83}"/>
            </c:ext>
          </c:extLst>
        </c:ser>
        <c:ser>
          <c:idx val="1"/>
          <c:order val="1"/>
          <c:spPr>
            <a:ln w="28575">
              <a:noFill/>
            </a:ln>
          </c:spPr>
          <c:marker>
            <c:symbol val="triangle"/>
            <c:size val="7"/>
            <c:spPr>
              <a:solidFill>
                <a:srgbClr val="FF0000"/>
              </a:solidFill>
              <a:ln>
                <a:solidFill>
                  <a:srgbClr val="FF0000"/>
                </a:solidFill>
                <a:prstDash val="solid"/>
              </a:ln>
            </c:spPr>
          </c:marker>
          <c:xVal>
            <c:numRef>
              <c:f>'Horizontal Stabilizer'!$H$19</c:f>
              <c:numCache>
                <c:formatCode>General_)</c:formatCode>
                <c:ptCount val="1"/>
                <c:pt idx="0">
                  <c:v>0</c:v>
                </c:pt>
              </c:numCache>
            </c:numRef>
          </c:xVal>
          <c:yVal>
            <c:numRef>
              <c:f>'Horizontal Stabilizer'!$I$19</c:f>
              <c:numCache>
                <c:formatCode>General_)</c:formatCode>
                <c:ptCount val="1"/>
                <c:pt idx="0">
                  <c:v>107.27272727272728</c:v>
                </c:pt>
              </c:numCache>
            </c:numRef>
          </c:yVal>
          <c:smooth val="0"/>
          <c:extLst>
            <c:ext xmlns:c16="http://schemas.microsoft.com/office/drawing/2014/chart" uri="{C3380CC4-5D6E-409C-BE32-E72D297353CC}">
              <c16:uniqueId val="{00000001-3F4A-4F04-9FFC-D9B11445DA83}"/>
            </c:ext>
          </c:extLst>
        </c:ser>
        <c:dLbls>
          <c:showLegendKey val="0"/>
          <c:showVal val="0"/>
          <c:showCatName val="0"/>
          <c:showSerName val="0"/>
          <c:showPercent val="0"/>
          <c:showBubbleSize val="0"/>
        </c:dLbls>
        <c:axId val="191547264"/>
        <c:axId val="191914752"/>
      </c:scatterChart>
      <c:valAx>
        <c:axId val="191547264"/>
        <c:scaling>
          <c:orientation val="minMax"/>
        </c:scaling>
        <c:delete val="0"/>
        <c:axPos val="b"/>
        <c:majorGridlines>
          <c:spPr>
            <a:ln w="12700">
              <a:solidFill>
                <a:srgbClr val="969696"/>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mm</a:t>
                </a:r>
              </a:p>
            </c:rich>
          </c:tx>
          <c:layout>
            <c:manualLayout>
              <c:xMode val="edge"/>
              <c:yMode val="edge"/>
              <c:x val="0.48648767264747639"/>
              <c:y val="0.87109520400858986"/>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191914752"/>
        <c:crosses val="autoZero"/>
        <c:crossBetween val="midCat"/>
      </c:valAx>
      <c:valAx>
        <c:axId val="191914752"/>
        <c:scaling>
          <c:orientation val="minMax"/>
        </c:scaling>
        <c:delete val="0"/>
        <c:axPos val="l"/>
        <c:majorGridlines>
          <c:spPr>
            <a:ln w="12700">
              <a:solidFill>
                <a:srgbClr val="969696"/>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mm</a:t>
                </a:r>
              </a:p>
            </c:rich>
          </c:tx>
          <c:layout>
            <c:manualLayout>
              <c:xMode val="edge"/>
              <c:yMode val="edge"/>
              <c:x val="1.5765672733531258E-2"/>
              <c:y val="0.41015726339992625"/>
            </c:manualLayout>
          </c:layout>
          <c:overlay val="0"/>
          <c:spPr>
            <a:noFill/>
            <a:ln w="25400">
              <a:noFill/>
            </a:ln>
          </c:spPr>
        </c:title>
        <c:numFmt formatCode="General_)"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1915472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FF"/>
                </a:solidFill>
                <a:latin typeface="Arial"/>
                <a:ea typeface="Arial"/>
                <a:cs typeface="Arial"/>
              </a:defRPr>
            </a:pPr>
            <a:r>
              <a:rPr lang="en-US"/>
              <a:t>Does your Vertical Tail look like this?</a:t>
            </a:r>
          </a:p>
        </c:rich>
      </c:tx>
      <c:layout>
        <c:manualLayout>
          <c:xMode val="edge"/>
          <c:yMode val="edge"/>
          <c:x val="0.1620795107033639"/>
          <c:y val="3.1578947368421054E-2"/>
        </c:manualLayout>
      </c:layout>
      <c:overlay val="0"/>
      <c:spPr>
        <a:noFill/>
        <a:ln w="25400">
          <a:noFill/>
        </a:ln>
      </c:spPr>
    </c:title>
    <c:autoTitleDeleted val="0"/>
    <c:plotArea>
      <c:layout>
        <c:manualLayout>
          <c:layoutTarget val="inner"/>
          <c:xMode val="edge"/>
          <c:yMode val="edge"/>
          <c:x val="0.15902188163549322"/>
          <c:y val="0.12319104848736014"/>
          <c:w val="0.77370261641884208"/>
          <c:h val="0.76975410968365798"/>
        </c:manualLayout>
      </c:layout>
      <c:scatterChart>
        <c:scatterStyle val="lineMarker"/>
        <c:varyColors val="0"/>
        <c:ser>
          <c:idx val="0"/>
          <c:order val="0"/>
          <c:tx>
            <c:strRef>
              <c:f>'Vertical Stabilizer'!$G$11</c:f>
              <c:strCache>
                <c:ptCount val="1"/>
                <c:pt idx="0">
                  <c:v>Span</c:v>
                </c:pt>
              </c:strCache>
            </c:strRef>
          </c:tx>
          <c:spPr>
            <a:ln w="25400">
              <a:solidFill>
                <a:srgbClr val="800000"/>
              </a:solidFill>
              <a:prstDash val="solid"/>
            </a:ln>
          </c:spPr>
          <c:marker>
            <c:symbol val="none"/>
          </c:marker>
          <c:dPt>
            <c:idx val="10"/>
            <c:marker>
              <c:symbol val="triangle"/>
              <c:size val="7"/>
              <c:spPr>
                <a:solidFill>
                  <a:srgbClr val="FF0000"/>
                </a:solidFill>
                <a:ln>
                  <a:solidFill>
                    <a:srgbClr val="FF0000"/>
                  </a:solidFill>
                  <a:prstDash val="solid"/>
                </a:ln>
              </c:spPr>
            </c:marker>
            <c:bubble3D val="0"/>
            <c:spPr>
              <a:ln w="25400">
                <a:solidFill>
                  <a:srgbClr val="FF0000"/>
                </a:solidFill>
                <a:prstDash val="solid"/>
              </a:ln>
            </c:spPr>
            <c:extLst>
              <c:ext xmlns:c16="http://schemas.microsoft.com/office/drawing/2014/chart" uri="{C3380CC4-5D6E-409C-BE32-E72D297353CC}">
                <c16:uniqueId val="{00000001-83CD-4C1A-860F-01F4EA50F31B}"/>
              </c:ext>
            </c:extLst>
          </c:dPt>
          <c:xVal>
            <c:numRef>
              <c:f>'Vertical Stabilizer'!$F$12:$F$22</c:f>
              <c:numCache>
                <c:formatCode>General_)</c:formatCode>
                <c:ptCount val="11"/>
                <c:pt idx="0" formatCode="General">
                  <c:v>0</c:v>
                </c:pt>
                <c:pt idx="1">
                  <c:v>90</c:v>
                </c:pt>
                <c:pt idx="2">
                  <c:v>150</c:v>
                </c:pt>
                <c:pt idx="3">
                  <c:v>200</c:v>
                </c:pt>
                <c:pt idx="4">
                  <c:v>0</c:v>
                </c:pt>
                <c:pt idx="5">
                  <c:v>100</c:v>
                </c:pt>
                <c:pt idx="6">
                  <c:v>150</c:v>
                </c:pt>
                <c:pt idx="7">
                  <c:v>200</c:v>
                </c:pt>
                <c:pt idx="8" formatCode="General">
                  <c:v>0</c:v>
                </c:pt>
                <c:pt idx="10">
                  <c:v>73.577445016378107</c:v>
                </c:pt>
              </c:numCache>
            </c:numRef>
          </c:xVal>
          <c:yVal>
            <c:numRef>
              <c:f>'Vertical Stabilizer'!$G$12:$G$22</c:f>
              <c:numCache>
                <c:formatCode>General_)</c:formatCode>
                <c:ptCount val="11"/>
                <c:pt idx="0" formatCode="General">
                  <c:v>0</c:v>
                </c:pt>
                <c:pt idx="1">
                  <c:v>120</c:v>
                </c:pt>
                <c:pt idx="2">
                  <c:v>120</c:v>
                </c:pt>
                <c:pt idx="3">
                  <c:v>0</c:v>
                </c:pt>
                <c:pt idx="4">
                  <c:v>0</c:v>
                </c:pt>
                <c:pt idx="5">
                  <c:v>-88.9</c:v>
                </c:pt>
                <c:pt idx="6">
                  <c:v>-88.9</c:v>
                </c:pt>
                <c:pt idx="7" formatCode="General">
                  <c:v>0</c:v>
                </c:pt>
                <c:pt idx="8" formatCode="General">
                  <c:v>0</c:v>
                </c:pt>
                <c:pt idx="10" formatCode="General">
                  <c:v>0</c:v>
                </c:pt>
              </c:numCache>
            </c:numRef>
          </c:yVal>
          <c:smooth val="0"/>
          <c:extLst>
            <c:ext xmlns:c16="http://schemas.microsoft.com/office/drawing/2014/chart" uri="{C3380CC4-5D6E-409C-BE32-E72D297353CC}">
              <c16:uniqueId val="{00000002-83CD-4C1A-860F-01F4EA50F31B}"/>
            </c:ext>
          </c:extLst>
        </c:ser>
        <c:dLbls>
          <c:showLegendKey val="0"/>
          <c:showVal val="0"/>
          <c:showCatName val="0"/>
          <c:showSerName val="0"/>
          <c:showPercent val="0"/>
          <c:showBubbleSize val="0"/>
        </c:dLbls>
        <c:axId val="201617792"/>
        <c:axId val="126869888"/>
      </c:scatterChart>
      <c:valAx>
        <c:axId val="201617792"/>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n-US"/>
                  <a:t>mm</a:t>
                </a:r>
              </a:p>
            </c:rich>
          </c:tx>
          <c:layout>
            <c:manualLayout>
              <c:xMode val="edge"/>
              <c:yMode val="edge"/>
              <c:x val="0.48012360840216073"/>
              <c:y val="0.9118541234977206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126869888"/>
        <c:crosses val="autoZero"/>
        <c:crossBetween val="midCat"/>
      </c:valAx>
      <c:valAx>
        <c:axId val="126869888"/>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n-US"/>
                  <a:t>mm</a:t>
                </a:r>
              </a:p>
            </c:rich>
          </c:tx>
          <c:layout>
            <c:manualLayout>
              <c:xMode val="edge"/>
              <c:yMode val="edge"/>
              <c:x val="2.4464831804281346E-2"/>
              <c:y val="0.4407293825113966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20161779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orientation="landscape" horizontalDpi="-2" verticalDpi="-2"/>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00" b="1" i="0" u="none" strike="noStrike" baseline="0">
                <a:solidFill>
                  <a:srgbClr val="0000FF"/>
                </a:solidFill>
                <a:latin typeface="Comic Sans MS"/>
                <a:ea typeface="Comic Sans MS"/>
                <a:cs typeface="Comic Sans MS"/>
              </a:defRPr>
            </a:pPr>
            <a:r>
              <a:rPr lang="pl-PL" sz="1700" b="1" i="0" u="none" strike="noStrike" baseline="0"/>
              <a:t>Czy Twoje skrzydło wygląda tak?</a:t>
            </a:r>
            <a:endParaRPr lang="en-US"/>
          </a:p>
        </c:rich>
      </c:tx>
      <c:layout>
        <c:manualLayout>
          <c:xMode val="edge"/>
          <c:yMode val="edge"/>
          <c:x val="0.25000010920964977"/>
          <c:y val="3.6789178782119319E-2"/>
        </c:manualLayout>
      </c:layout>
      <c:overlay val="0"/>
      <c:spPr>
        <a:noFill/>
        <a:ln w="25400">
          <a:noFill/>
        </a:ln>
      </c:spPr>
    </c:title>
    <c:autoTitleDeleted val="0"/>
    <c:plotArea>
      <c:layout>
        <c:manualLayout>
          <c:layoutTarget val="inner"/>
          <c:xMode val="edge"/>
          <c:yMode val="edge"/>
          <c:x val="0.10731196322353197"/>
          <c:y val="0.16088328075709779"/>
          <c:w val="0.85864464427153708"/>
          <c:h val="0.6591763618139711"/>
        </c:manualLayout>
      </c:layout>
      <c:scatterChart>
        <c:scatterStyle val="lineMarker"/>
        <c:varyColors val="0"/>
        <c:ser>
          <c:idx val="0"/>
          <c:order val="0"/>
          <c:spPr>
            <a:ln w="25400">
              <a:solidFill>
                <a:srgbClr val="800000"/>
              </a:solidFill>
              <a:prstDash val="solid"/>
            </a:ln>
          </c:spPr>
          <c:marker>
            <c:symbol val="none"/>
          </c:marker>
          <c:xVal>
            <c:numRef>
              <c:f>'Balance Point'!$B$14:$B$18</c:f>
              <c:numCache>
                <c:formatCode>General_)</c:formatCode>
                <c:ptCount val="5"/>
                <c:pt idx="0">
                  <c:v>0</c:v>
                </c:pt>
                <c:pt idx="1">
                  <c:v>0</c:v>
                </c:pt>
                <c:pt idx="2">
                  <c:v>600</c:v>
                </c:pt>
                <c:pt idx="3">
                  <c:v>600</c:v>
                </c:pt>
                <c:pt idx="4">
                  <c:v>0</c:v>
                </c:pt>
              </c:numCache>
            </c:numRef>
          </c:xVal>
          <c:yVal>
            <c:numRef>
              <c:f>'Balance Point'!$C$14:$C$18</c:f>
              <c:numCache>
                <c:formatCode>General_)</c:formatCode>
                <c:ptCount val="5"/>
                <c:pt idx="0">
                  <c:v>0</c:v>
                </c:pt>
                <c:pt idx="1">
                  <c:v>170</c:v>
                </c:pt>
                <c:pt idx="2">
                  <c:v>170</c:v>
                </c:pt>
                <c:pt idx="3">
                  <c:v>0</c:v>
                </c:pt>
                <c:pt idx="4">
                  <c:v>0</c:v>
                </c:pt>
              </c:numCache>
            </c:numRef>
          </c:yVal>
          <c:smooth val="0"/>
          <c:extLst>
            <c:ext xmlns:c16="http://schemas.microsoft.com/office/drawing/2014/chart" uri="{C3380CC4-5D6E-409C-BE32-E72D297353CC}">
              <c16:uniqueId val="{00000000-2F77-4431-BB17-55C6C19E4652}"/>
            </c:ext>
          </c:extLst>
        </c:ser>
        <c:ser>
          <c:idx val="1"/>
          <c:order val="1"/>
          <c:spPr>
            <a:ln w="25400">
              <a:solidFill>
                <a:srgbClr val="800000"/>
              </a:solidFill>
              <a:prstDash val="solid"/>
            </a:ln>
          </c:spPr>
          <c:marker>
            <c:symbol val="none"/>
          </c:marker>
          <c:xVal>
            <c:numRef>
              <c:f>'Balance Point'!$D$14:$D$17</c:f>
              <c:numCache>
                <c:formatCode>General_)</c:formatCode>
                <c:ptCount val="4"/>
                <c:pt idx="0">
                  <c:v>600</c:v>
                </c:pt>
                <c:pt idx="1">
                  <c:v>680</c:v>
                </c:pt>
                <c:pt idx="2">
                  <c:v>680</c:v>
                </c:pt>
                <c:pt idx="3">
                  <c:v>600</c:v>
                </c:pt>
              </c:numCache>
            </c:numRef>
          </c:xVal>
          <c:yVal>
            <c:numRef>
              <c:f>'Balance Point'!$E$14:$E$17</c:f>
              <c:numCache>
                <c:formatCode>General_)</c:formatCode>
                <c:ptCount val="4"/>
                <c:pt idx="0">
                  <c:v>170</c:v>
                </c:pt>
                <c:pt idx="1">
                  <c:v>170</c:v>
                </c:pt>
                <c:pt idx="2">
                  <c:v>15</c:v>
                </c:pt>
                <c:pt idx="3">
                  <c:v>0</c:v>
                </c:pt>
              </c:numCache>
            </c:numRef>
          </c:yVal>
          <c:smooth val="0"/>
          <c:extLst>
            <c:ext xmlns:c16="http://schemas.microsoft.com/office/drawing/2014/chart" uri="{C3380CC4-5D6E-409C-BE32-E72D297353CC}">
              <c16:uniqueId val="{00000001-2F77-4431-BB17-55C6C19E4652}"/>
            </c:ext>
          </c:extLst>
        </c:ser>
        <c:ser>
          <c:idx val="2"/>
          <c:order val="2"/>
          <c:spPr>
            <a:ln w="25400">
              <a:solidFill>
                <a:srgbClr val="800000"/>
              </a:solidFill>
              <a:prstDash val="solid"/>
            </a:ln>
          </c:spPr>
          <c:marker>
            <c:symbol val="none"/>
          </c:marker>
          <c:xVal>
            <c:numRef>
              <c:f>'Balance Point'!$F$14:$F$17</c:f>
              <c:numCache>
                <c:formatCode>General_)</c:formatCode>
                <c:ptCount val="4"/>
                <c:pt idx="0">
                  <c:v>680</c:v>
                </c:pt>
                <c:pt idx="1">
                  <c:v>755</c:v>
                </c:pt>
                <c:pt idx="2">
                  <c:v>755</c:v>
                </c:pt>
                <c:pt idx="3">
                  <c:v>680</c:v>
                </c:pt>
              </c:numCache>
            </c:numRef>
          </c:xVal>
          <c:yVal>
            <c:numRef>
              <c:f>'Balance Point'!$G$14:$G$17</c:f>
              <c:numCache>
                <c:formatCode>General_)</c:formatCode>
                <c:ptCount val="4"/>
                <c:pt idx="0">
                  <c:v>170</c:v>
                </c:pt>
                <c:pt idx="1">
                  <c:v>155</c:v>
                </c:pt>
                <c:pt idx="2">
                  <c:v>65</c:v>
                </c:pt>
                <c:pt idx="3">
                  <c:v>15</c:v>
                </c:pt>
              </c:numCache>
            </c:numRef>
          </c:yVal>
          <c:smooth val="0"/>
          <c:extLst>
            <c:ext xmlns:c16="http://schemas.microsoft.com/office/drawing/2014/chart" uri="{C3380CC4-5D6E-409C-BE32-E72D297353CC}">
              <c16:uniqueId val="{00000002-2F77-4431-BB17-55C6C19E4652}"/>
            </c:ext>
          </c:extLst>
        </c:ser>
        <c:ser>
          <c:idx val="3"/>
          <c:order val="3"/>
          <c:spPr>
            <a:ln w="12700">
              <a:solidFill>
                <a:srgbClr val="800000"/>
              </a:solidFill>
              <a:prstDash val="solid"/>
            </a:ln>
          </c:spPr>
          <c:marker>
            <c:symbol val="dash"/>
            <c:size val="9"/>
            <c:spPr>
              <a:solidFill>
                <a:srgbClr val="0000FF"/>
              </a:solidFill>
              <a:ln>
                <a:solidFill>
                  <a:srgbClr val="0000FF"/>
                </a:solidFill>
                <a:prstDash val="solid"/>
              </a:ln>
            </c:spPr>
          </c:marker>
          <c:xVal>
            <c:numRef>
              <c:f>'Balance Point'!$B$20</c:f>
              <c:numCache>
                <c:formatCode>General_)</c:formatCode>
                <c:ptCount val="1"/>
                <c:pt idx="0">
                  <c:v>0</c:v>
                </c:pt>
              </c:numCache>
            </c:numRef>
          </c:xVal>
          <c:yVal>
            <c:numRef>
              <c:f>'Balance Point'!$C$20</c:f>
              <c:numCache>
                <c:formatCode>0.00</c:formatCode>
                <c:ptCount val="1"/>
                <c:pt idx="0">
                  <c:v>106.48029022766161</c:v>
                </c:pt>
              </c:numCache>
            </c:numRef>
          </c:yVal>
          <c:smooth val="0"/>
          <c:extLst>
            <c:ext xmlns:c16="http://schemas.microsoft.com/office/drawing/2014/chart" uri="{C3380CC4-5D6E-409C-BE32-E72D297353CC}">
              <c16:uniqueId val="{00000003-2F77-4431-BB17-55C6C19E4652}"/>
            </c:ext>
          </c:extLst>
        </c:ser>
        <c:ser>
          <c:idx val="4"/>
          <c:order val="4"/>
          <c:spPr>
            <a:ln w="12700">
              <a:solidFill>
                <a:srgbClr val="800080"/>
              </a:solidFill>
              <a:prstDash val="solid"/>
            </a:ln>
          </c:spPr>
          <c:marker>
            <c:symbol val="triangle"/>
            <c:size val="7"/>
            <c:spPr>
              <a:solidFill>
                <a:srgbClr val="FF0000"/>
              </a:solidFill>
              <a:ln>
                <a:solidFill>
                  <a:srgbClr val="FF0000"/>
                </a:solidFill>
                <a:prstDash val="solid"/>
              </a:ln>
            </c:spPr>
          </c:marker>
          <c:xVal>
            <c:numLit>
              <c:formatCode>General</c:formatCode>
              <c:ptCount val="1"/>
              <c:pt idx="0">
                <c:v>0</c:v>
              </c:pt>
            </c:numLit>
          </c:xVal>
          <c:yVal>
            <c:numRef>
              <c:f>'Balance Point'!$C$21</c:f>
              <c:numCache>
                <c:formatCode>0.00</c:formatCode>
                <c:ptCount val="1"/>
                <c:pt idx="0">
                  <c:v>98.184014435009374</c:v>
                </c:pt>
              </c:numCache>
            </c:numRef>
          </c:yVal>
          <c:smooth val="0"/>
          <c:extLst>
            <c:ext xmlns:c16="http://schemas.microsoft.com/office/drawing/2014/chart" uri="{C3380CC4-5D6E-409C-BE32-E72D297353CC}">
              <c16:uniqueId val="{00000004-2F77-4431-BB17-55C6C19E4652}"/>
            </c:ext>
          </c:extLst>
        </c:ser>
        <c:ser>
          <c:idx val="5"/>
          <c:order val="5"/>
          <c:spPr>
            <a:ln w="25400">
              <a:solidFill>
                <a:srgbClr val="800000"/>
              </a:solidFill>
              <a:prstDash val="solid"/>
            </a:ln>
          </c:spPr>
          <c:marker>
            <c:symbol val="none"/>
          </c:marker>
          <c:xVal>
            <c:numRef>
              <c:f>'Balance Point'!$H$14:$H$17</c:f>
              <c:numCache>
                <c:formatCode>General_)</c:formatCode>
                <c:ptCount val="4"/>
                <c:pt idx="0">
                  <c:v>755</c:v>
                </c:pt>
                <c:pt idx="1">
                  <c:v>755</c:v>
                </c:pt>
                <c:pt idx="2">
                  <c:v>755</c:v>
                </c:pt>
                <c:pt idx="3">
                  <c:v>755</c:v>
                </c:pt>
              </c:numCache>
            </c:numRef>
          </c:xVal>
          <c:yVal>
            <c:numRef>
              <c:f>'Balance Point'!$I$14:$I$17</c:f>
              <c:numCache>
                <c:formatCode>General_)</c:formatCode>
                <c:ptCount val="4"/>
                <c:pt idx="0">
                  <c:v>155</c:v>
                </c:pt>
                <c:pt idx="1">
                  <c:v>155</c:v>
                </c:pt>
                <c:pt idx="2">
                  <c:v>155</c:v>
                </c:pt>
                <c:pt idx="3">
                  <c:v>65</c:v>
                </c:pt>
              </c:numCache>
            </c:numRef>
          </c:yVal>
          <c:smooth val="0"/>
          <c:extLst>
            <c:ext xmlns:c16="http://schemas.microsoft.com/office/drawing/2014/chart" uri="{C3380CC4-5D6E-409C-BE32-E72D297353CC}">
              <c16:uniqueId val="{00000005-2F77-4431-BB17-55C6C19E4652}"/>
            </c:ext>
          </c:extLst>
        </c:ser>
        <c:ser>
          <c:idx val="6"/>
          <c:order val="6"/>
          <c:tx>
            <c:v>MAC</c:v>
          </c:tx>
          <c:spPr>
            <a:ln w="31750">
              <a:solidFill>
                <a:srgbClr val="0033CC"/>
              </a:solidFill>
            </a:ln>
          </c:spPr>
          <c:marker>
            <c:symbol val="none"/>
          </c:marker>
          <c:xVal>
            <c:numRef>
              <c:f>'Balance Point'!$B$23:$B$24</c:f>
              <c:numCache>
                <c:formatCode>0.00</c:formatCode>
                <c:ptCount val="2"/>
                <c:pt idx="0">
                  <c:v>366.16859587317566</c:v>
                </c:pt>
                <c:pt idx="1">
                  <c:v>366.16859587317566</c:v>
                </c:pt>
              </c:numCache>
            </c:numRef>
          </c:xVal>
          <c:yVal>
            <c:numRef>
              <c:f>'Balance Point'!$C$23:$C$24</c:f>
              <c:numCache>
                <c:formatCode>0.00</c:formatCode>
                <c:ptCount val="2"/>
                <c:pt idx="0">
                  <c:v>169.49421238047307</c:v>
                </c:pt>
                <c:pt idx="1">
                  <c:v>3.5686965274283011</c:v>
                </c:pt>
              </c:numCache>
            </c:numRef>
          </c:yVal>
          <c:smooth val="0"/>
          <c:extLst>
            <c:ext xmlns:c16="http://schemas.microsoft.com/office/drawing/2014/chart" uri="{C3380CC4-5D6E-409C-BE32-E72D297353CC}">
              <c16:uniqueId val="{00000006-2F77-4431-BB17-55C6C19E4652}"/>
            </c:ext>
          </c:extLst>
        </c:ser>
        <c:ser>
          <c:idx val="7"/>
          <c:order val="7"/>
          <c:marker>
            <c:symbol val="none"/>
          </c:marker>
          <c:dPt>
            <c:idx val="1"/>
            <c:bubble3D val="0"/>
            <c:spPr>
              <a:ln>
                <a:solidFill>
                  <a:srgbClr val="FF0000"/>
                </a:solidFill>
                <a:prstDash val="dash"/>
              </a:ln>
            </c:spPr>
            <c:extLst>
              <c:ext xmlns:c16="http://schemas.microsoft.com/office/drawing/2014/chart" uri="{C3380CC4-5D6E-409C-BE32-E72D297353CC}">
                <c16:uniqueId val="{00000008-2F77-4431-BB17-55C6C19E4652}"/>
              </c:ext>
            </c:extLst>
          </c:dPt>
          <c:xVal>
            <c:numRef>
              <c:f>'Balance Point'!$E$21:$F$21</c:f>
              <c:numCache>
                <c:formatCode>0.00</c:formatCode>
                <c:ptCount val="2"/>
                <c:pt idx="0">
                  <c:v>0</c:v>
                </c:pt>
                <c:pt idx="1">
                  <c:v>366.16859587317566</c:v>
                </c:pt>
              </c:numCache>
            </c:numRef>
          </c:xVal>
          <c:yVal>
            <c:numRef>
              <c:f>'Balance Point'!$E$22:$F$22</c:f>
              <c:numCache>
                <c:formatCode>0.00</c:formatCode>
                <c:ptCount val="2"/>
                <c:pt idx="0">
                  <c:v>98.184014435009374</c:v>
                </c:pt>
                <c:pt idx="1">
                  <c:v>98.184014435009374</c:v>
                </c:pt>
              </c:numCache>
            </c:numRef>
          </c:yVal>
          <c:smooth val="0"/>
          <c:extLst>
            <c:ext xmlns:c16="http://schemas.microsoft.com/office/drawing/2014/chart" uri="{C3380CC4-5D6E-409C-BE32-E72D297353CC}">
              <c16:uniqueId val="{00000009-2F77-4431-BB17-55C6C19E4652}"/>
            </c:ext>
          </c:extLst>
        </c:ser>
        <c:dLbls>
          <c:showLegendKey val="0"/>
          <c:showVal val="0"/>
          <c:showCatName val="0"/>
          <c:showSerName val="0"/>
          <c:showPercent val="0"/>
          <c:showBubbleSize val="0"/>
        </c:dLbls>
        <c:axId val="127014784"/>
        <c:axId val="127016960"/>
      </c:scatterChart>
      <c:valAx>
        <c:axId val="127014784"/>
        <c:scaling>
          <c:orientation val="minMax"/>
        </c:scaling>
        <c:delete val="0"/>
        <c:axPos val="b"/>
        <c:majorGridlines>
          <c:spPr>
            <a:ln w="3175">
              <a:solidFill>
                <a:srgbClr val="969696"/>
              </a:solidFill>
              <a:prstDash val="solid"/>
            </a:ln>
          </c:spPr>
        </c:majorGridlines>
        <c:title>
          <c:tx>
            <c:rich>
              <a:bodyPr/>
              <a:lstStyle/>
              <a:p>
                <a:pPr>
                  <a:defRPr sz="1100" b="1" i="0" u="none" strike="noStrike" baseline="0">
                    <a:solidFill>
                      <a:srgbClr val="000000"/>
                    </a:solidFill>
                    <a:latin typeface="Arial"/>
                    <a:ea typeface="Arial"/>
                    <a:cs typeface="Arial"/>
                  </a:defRPr>
                </a:pPr>
                <a:r>
                  <a:rPr lang="en-US"/>
                  <a:t>mm</a:t>
                </a:r>
              </a:p>
            </c:rich>
          </c:tx>
          <c:layout>
            <c:manualLayout>
              <c:xMode val="edge"/>
              <c:yMode val="edge"/>
              <c:x val="0.47873025580540296"/>
              <c:y val="0.89389282452546093"/>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pl-PL"/>
          </a:p>
        </c:txPr>
        <c:crossAx val="127016960"/>
        <c:crosses val="autoZero"/>
        <c:crossBetween val="midCat"/>
      </c:valAx>
      <c:valAx>
        <c:axId val="12701696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Arial"/>
                    <a:ea typeface="Arial"/>
                    <a:cs typeface="Arial"/>
                  </a:defRPr>
                </a:pPr>
                <a:r>
                  <a:rPr lang="en-US"/>
                  <a:t>mm</a:t>
                </a:r>
              </a:p>
            </c:rich>
          </c:tx>
          <c:layout>
            <c:manualLayout>
              <c:xMode val="edge"/>
              <c:yMode val="edge"/>
              <c:x val="1.0770983724121864E-2"/>
              <c:y val="0.43839820962818521"/>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pl-PL"/>
          </a:p>
        </c:txPr>
        <c:crossAx val="12701478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FF"/>
                </a:solidFill>
                <a:latin typeface="Arial"/>
                <a:ea typeface="Arial"/>
                <a:cs typeface="Arial"/>
              </a:defRPr>
            </a:pPr>
            <a:r>
              <a:rPr lang="pl-PL" sz="1200" b="1" i="0" u="none" strike="noStrike" baseline="0"/>
              <a:t>Czy twój Wznios  wygląda tak?</a:t>
            </a:r>
            <a:endParaRPr lang="en-US"/>
          </a:p>
        </c:rich>
      </c:tx>
      <c:layout>
        <c:manualLayout>
          <c:xMode val="edge"/>
          <c:yMode val="edge"/>
          <c:x val="0.2615658573224971"/>
          <c:y val="3.873239436619718E-2"/>
        </c:manualLayout>
      </c:layout>
      <c:overlay val="0"/>
      <c:spPr>
        <a:noFill/>
        <a:ln w="25400">
          <a:noFill/>
        </a:ln>
      </c:spPr>
    </c:title>
    <c:autoTitleDeleted val="0"/>
    <c:plotArea>
      <c:layout>
        <c:manualLayout>
          <c:layoutTarget val="inner"/>
          <c:xMode val="edge"/>
          <c:yMode val="edge"/>
          <c:x val="0.12752094600274611"/>
          <c:y val="0.19366197183098591"/>
          <c:w val="0.81554048626483966"/>
          <c:h val="0.57042253521126762"/>
        </c:manualLayout>
      </c:layout>
      <c:scatterChart>
        <c:scatterStyle val="lineMarker"/>
        <c:varyColors val="0"/>
        <c:ser>
          <c:idx val="0"/>
          <c:order val="0"/>
          <c:tx>
            <c:strRef>
              <c:f>'Wing Dihedral'!$D$22</c:f>
              <c:strCache>
                <c:ptCount val="1"/>
                <c:pt idx="0">
                  <c:v>Chord</c:v>
                </c:pt>
              </c:strCache>
            </c:strRef>
          </c:tx>
          <c:spPr>
            <a:ln w="38100">
              <a:solidFill>
                <a:srgbClr val="800000"/>
              </a:solidFill>
              <a:prstDash val="solid"/>
            </a:ln>
          </c:spPr>
          <c:marker>
            <c:symbol val="none"/>
          </c:marker>
          <c:xVal>
            <c:numRef>
              <c:f>'Wing Dihedral'!$C$23:$C$27</c:f>
              <c:numCache>
                <c:formatCode>General_)</c:formatCode>
                <c:ptCount val="5"/>
                <c:pt idx="0">
                  <c:v>0</c:v>
                </c:pt>
                <c:pt idx="1">
                  <c:v>600</c:v>
                </c:pt>
                <c:pt idx="2">
                  <c:v>680</c:v>
                </c:pt>
                <c:pt idx="3">
                  <c:v>755</c:v>
                </c:pt>
                <c:pt idx="4">
                  <c:v>755</c:v>
                </c:pt>
              </c:numCache>
            </c:numRef>
          </c:xVal>
          <c:yVal>
            <c:numRef>
              <c:f>'Wing Dihedral'!$D$23:$D$27</c:f>
              <c:numCache>
                <c:formatCode>General_)</c:formatCode>
                <c:ptCount val="5"/>
                <c:pt idx="0">
                  <c:v>0</c:v>
                </c:pt>
                <c:pt idx="1">
                  <c:v>3.49</c:v>
                </c:pt>
                <c:pt idx="2">
                  <c:v>10.47</c:v>
                </c:pt>
                <c:pt idx="3">
                  <c:v>20.92</c:v>
                </c:pt>
                <c:pt idx="4">
                  <c:v>20.92</c:v>
                </c:pt>
              </c:numCache>
            </c:numRef>
          </c:yVal>
          <c:smooth val="0"/>
          <c:extLst>
            <c:ext xmlns:c16="http://schemas.microsoft.com/office/drawing/2014/chart" uri="{C3380CC4-5D6E-409C-BE32-E72D297353CC}">
              <c16:uniqueId val="{00000000-91F7-4C6B-A17D-20E7BD80B60C}"/>
            </c:ext>
          </c:extLst>
        </c:ser>
        <c:dLbls>
          <c:showLegendKey val="0"/>
          <c:showVal val="0"/>
          <c:showCatName val="0"/>
          <c:showSerName val="0"/>
          <c:showPercent val="0"/>
          <c:showBubbleSize val="0"/>
        </c:dLbls>
        <c:axId val="127030016"/>
        <c:axId val="127031936"/>
      </c:scatterChart>
      <c:valAx>
        <c:axId val="127030016"/>
        <c:scaling>
          <c:orientation val="minMax"/>
        </c:scaling>
        <c:delete val="0"/>
        <c:axPos val="b"/>
        <c:title>
          <c:tx>
            <c:rich>
              <a:bodyPr/>
              <a:lstStyle/>
              <a:p>
                <a:pPr>
                  <a:defRPr sz="1050" b="1" i="0" u="none" strike="noStrike" baseline="0">
                    <a:solidFill>
                      <a:srgbClr val="000000"/>
                    </a:solidFill>
                    <a:latin typeface="Arial"/>
                    <a:ea typeface="Arial"/>
                    <a:cs typeface="Arial"/>
                  </a:defRPr>
                </a:pPr>
                <a:r>
                  <a:rPr lang="en-US"/>
                  <a:t>mm</a:t>
                </a:r>
              </a:p>
            </c:rich>
          </c:tx>
          <c:layout>
            <c:manualLayout>
              <c:xMode val="edge"/>
              <c:yMode val="edge"/>
              <c:x val="0.48398612552852116"/>
              <c:y val="0.86971830985915488"/>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pl-PL"/>
          </a:p>
        </c:txPr>
        <c:crossAx val="127031936"/>
        <c:crosses val="autoZero"/>
        <c:crossBetween val="midCat"/>
      </c:valAx>
      <c:valAx>
        <c:axId val="127031936"/>
        <c:scaling>
          <c:orientation val="minMax"/>
        </c:scaling>
        <c:delete val="0"/>
        <c:axPos val="l"/>
        <c:majorGridlines>
          <c:spPr>
            <a:ln w="3175">
              <a:solidFill>
                <a:srgbClr val="000000"/>
              </a:solidFill>
              <a:prstDash val="solid"/>
            </a:ln>
          </c:spPr>
        </c:majorGridlines>
        <c:title>
          <c:tx>
            <c:rich>
              <a:bodyPr/>
              <a:lstStyle/>
              <a:p>
                <a:pPr>
                  <a:defRPr sz="1050" b="1" i="0" u="none" strike="noStrike" baseline="0">
                    <a:solidFill>
                      <a:srgbClr val="000000"/>
                    </a:solidFill>
                    <a:latin typeface="Arial"/>
                    <a:ea typeface="Arial"/>
                    <a:cs typeface="Arial"/>
                  </a:defRPr>
                </a:pPr>
                <a:r>
                  <a:rPr lang="en-US"/>
                  <a:t>mm</a:t>
                </a:r>
              </a:p>
            </c:rich>
          </c:tx>
          <c:layout>
            <c:manualLayout>
              <c:xMode val="edge"/>
              <c:yMode val="edge"/>
              <c:x val="1.9572963347427232E-2"/>
              <c:y val="0.39084507042253519"/>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pl-PL"/>
          </a:p>
        </c:txPr>
        <c:crossAx val="12703001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8" Type="http://schemas.openxmlformats.org/officeDocument/2006/relationships/hyperlink" Target="http://www.djaerotech.com/" TargetMode="External"/><Relationship Id="rId13" Type="http://schemas.openxmlformats.org/officeDocument/2006/relationships/image" Target="../media/image8.png"/><Relationship Id="rId18" Type="http://schemas.openxmlformats.org/officeDocument/2006/relationships/hyperlink" Target="http://www.profili2.com/eng/default.htm" TargetMode="External"/><Relationship Id="rId3" Type="http://schemas.openxmlformats.org/officeDocument/2006/relationships/hyperlink" Target="http://www.rcsoaringdigest.com/" TargetMode="External"/><Relationship Id="rId21" Type="http://schemas.openxmlformats.org/officeDocument/2006/relationships/image" Target="../media/image12.png"/><Relationship Id="rId7" Type="http://schemas.openxmlformats.org/officeDocument/2006/relationships/image" Target="../media/image5.png"/><Relationship Id="rId12" Type="http://schemas.openxmlformats.org/officeDocument/2006/relationships/hyperlink" Target="http://www.silentflight.org/" TargetMode="External"/><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http://www.b2streamlines.com/OTW.html" TargetMode="External"/><Relationship Id="rId20" Type="http://schemas.openxmlformats.org/officeDocument/2006/relationships/hyperlink" Target="http://web.mit.edu/drela/Public/web/xfoil/" TargetMode="External"/><Relationship Id="rId1" Type="http://schemas.openxmlformats.org/officeDocument/2006/relationships/hyperlink" Target="http://www.b2streamlines.com/" TargetMode="External"/><Relationship Id="rId6" Type="http://schemas.openxmlformats.org/officeDocument/2006/relationships/image" Target="../media/image4.png"/><Relationship Id="rId11" Type="http://schemas.openxmlformats.org/officeDocument/2006/relationships/image" Target="../media/image7.png"/><Relationship Id="rId5" Type="http://schemas.openxmlformats.org/officeDocument/2006/relationships/hyperlink" Target="http://www.rcgroups.com/forums/index.php" TargetMode="External"/><Relationship Id="rId15" Type="http://schemas.openxmlformats.org/officeDocument/2006/relationships/image" Target="../media/image9.png"/><Relationship Id="rId10" Type="http://schemas.openxmlformats.org/officeDocument/2006/relationships/hyperlink" Target="http://www.charlesriverrc.org/" TargetMode="External"/><Relationship Id="rId19" Type="http://schemas.openxmlformats.org/officeDocument/2006/relationships/image" Target="../media/image11.jpeg"/><Relationship Id="rId4" Type="http://schemas.openxmlformats.org/officeDocument/2006/relationships/image" Target="../media/image3.png"/><Relationship Id="rId9" Type="http://schemas.openxmlformats.org/officeDocument/2006/relationships/image" Target="../media/image6.jpeg"/><Relationship Id="rId14" Type="http://schemas.openxmlformats.org/officeDocument/2006/relationships/hyperlink" Target="http://www.modelaircraft.org/"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2171701</xdr:colOff>
      <xdr:row>2</xdr:row>
      <xdr:rowOff>142875</xdr:rowOff>
    </xdr:from>
    <xdr:to>
      <xdr:col>0</xdr:col>
      <xdr:colOff>6400801</xdr:colOff>
      <xdr:row>5</xdr:row>
      <xdr:rowOff>168274</xdr:rowOff>
    </xdr:to>
    <xdr:sp macro="" textlink="">
      <xdr:nvSpPr>
        <xdr:cNvPr id="4" name="WordArt 23">
          <a:extLst>
            <a:ext uri="{FF2B5EF4-FFF2-40B4-BE49-F238E27FC236}">
              <a16:creationId xmlns:a16="http://schemas.microsoft.com/office/drawing/2014/main" id="{00000000-0008-0000-0000-000004000000}"/>
            </a:ext>
          </a:extLst>
        </xdr:cNvPr>
        <xdr:cNvSpPr>
          <a:spLocks noChangeArrowheads="1" noChangeShapeType="1" noTextEdit="1"/>
        </xdr:cNvSpPr>
      </xdr:nvSpPr>
      <xdr:spPr bwMode="auto">
        <a:xfrm>
          <a:off x="2171701" y="466725"/>
          <a:ext cx="4229100" cy="682624"/>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Instructions</a:t>
          </a:r>
        </a:p>
      </xdr:txBody>
    </xdr:sp>
    <xdr:clientData/>
  </xdr:twoCellAnchor>
  <xdr:twoCellAnchor editAs="oneCell">
    <xdr:from>
      <xdr:col>0</xdr:col>
      <xdr:colOff>314325</xdr:colOff>
      <xdr:row>1</xdr:row>
      <xdr:rowOff>0</xdr:rowOff>
    </xdr:from>
    <xdr:to>
      <xdr:col>0</xdr:col>
      <xdr:colOff>904875</xdr:colOff>
      <xdr:row>2</xdr:row>
      <xdr:rowOff>133350</xdr:rowOff>
    </xdr:to>
    <xdr:pic>
      <xdr:nvPicPr>
        <xdr:cNvPr id="14729" name="Picture 2" descr="PaypalDonate.gif">
          <a:extLst>
            <a:ext uri="{FF2B5EF4-FFF2-40B4-BE49-F238E27FC236}">
              <a16:creationId xmlns:a16="http://schemas.microsoft.com/office/drawing/2014/main" id="{00000000-0008-0000-0000-0000893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61925"/>
          <a:ext cx="5905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1924050</xdr:colOff>
      <xdr:row>1</xdr:row>
      <xdr:rowOff>228600</xdr:rowOff>
    </xdr:from>
    <xdr:to>
      <xdr:col>0</xdr:col>
      <xdr:colOff>4476750</xdr:colOff>
      <xdr:row>5</xdr:row>
      <xdr:rowOff>85725</xdr:rowOff>
    </xdr:to>
    <xdr:sp macro="" textlink="">
      <xdr:nvSpPr>
        <xdr:cNvPr id="13313" name="WordArt 1">
          <a:extLst>
            <a:ext uri="{FF2B5EF4-FFF2-40B4-BE49-F238E27FC236}">
              <a16:creationId xmlns:a16="http://schemas.microsoft.com/office/drawing/2014/main" id="{00000000-0008-0000-0900-000001340000}"/>
            </a:ext>
          </a:extLst>
        </xdr:cNvPr>
        <xdr:cNvSpPr>
          <a:spLocks noChangeArrowheads="1" noChangeShapeType="1" noTextEdit="1"/>
        </xdr:cNvSpPr>
      </xdr:nvSpPr>
      <xdr:spPr bwMode="auto">
        <a:xfrm>
          <a:off x="1914525" y="876300"/>
          <a:ext cx="2552700" cy="590550"/>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Credits</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152400</xdr:colOff>
      <xdr:row>6</xdr:row>
      <xdr:rowOff>57150</xdr:rowOff>
    </xdr:from>
    <xdr:to>
      <xdr:col>4</xdr:col>
      <xdr:colOff>581025</xdr:colOff>
      <xdr:row>14</xdr:row>
      <xdr:rowOff>28575</xdr:rowOff>
    </xdr:to>
    <xdr:pic>
      <xdr:nvPicPr>
        <xdr:cNvPr id="970457" name="Picture 1" descr="B2Streamlines">
          <a:hlinkClick xmlns:r="http://schemas.openxmlformats.org/officeDocument/2006/relationships" r:id="rId1"/>
          <a:extLst>
            <a:ext uri="{FF2B5EF4-FFF2-40B4-BE49-F238E27FC236}">
              <a16:creationId xmlns:a16="http://schemas.microsoft.com/office/drawing/2014/main" id="{00000000-0008-0000-0A00-0000D9CE0E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990600"/>
          <a:ext cx="27527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390525</xdr:colOff>
      <xdr:row>7</xdr:row>
      <xdr:rowOff>19050</xdr:rowOff>
    </xdr:from>
    <xdr:to>
      <xdr:col>9</xdr:col>
      <xdr:colOff>466725</xdr:colOff>
      <xdr:row>11</xdr:row>
      <xdr:rowOff>0</xdr:rowOff>
    </xdr:to>
    <xdr:pic>
      <xdr:nvPicPr>
        <xdr:cNvPr id="970458" name="Picture 6" descr="RC Soaring Digest">
          <a:hlinkClick xmlns:r="http://schemas.openxmlformats.org/officeDocument/2006/relationships" r:id="rId3"/>
          <a:extLst>
            <a:ext uri="{FF2B5EF4-FFF2-40B4-BE49-F238E27FC236}">
              <a16:creationId xmlns:a16="http://schemas.microsoft.com/office/drawing/2014/main" id="{00000000-0008-0000-0A00-0000DACE0E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400425" y="1104900"/>
          <a:ext cx="2828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133350</xdr:colOff>
      <xdr:row>17</xdr:row>
      <xdr:rowOff>19050</xdr:rowOff>
    </xdr:from>
    <xdr:to>
      <xdr:col>5</xdr:col>
      <xdr:colOff>295275</xdr:colOff>
      <xdr:row>22</xdr:row>
      <xdr:rowOff>19050</xdr:rowOff>
    </xdr:to>
    <xdr:grpSp>
      <xdr:nvGrpSpPr>
        <xdr:cNvPr id="970459" name="Group 11">
          <a:extLst>
            <a:ext uri="{FF2B5EF4-FFF2-40B4-BE49-F238E27FC236}">
              <a16:creationId xmlns:a16="http://schemas.microsoft.com/office/drawing/2014/main" id="{00000000-0008-0000-0A00-0000DBCE0E00}"/>
            </a:ext>
          </a:extLst>
        </xdr:cNvPr>
        <xdr:cNvGrpSpPr>
          <a:grpSpLocks/>
        </xdr:cNvGrpSpPr>
      </xdr:nvGrpSpPr>
      <xdr:grpSpPr bwMode="auto">
        <a:xfrm>
          <a:off x="400050" y="2952750"/>
          <a:ext cx="2905125" cy="857250"/>
          <a:chOff x="561" y="256"/>
          <a:chExt cx="305" cy="82"/>
        </a:xfrm>
      </xdr:grpSpPr>
      <xdr:pic>
        <xdr:nvPicPr>
          <xdr:cNvPr id="970468" name="Picture 8" descr="R/C Groups.com">
            <a:hlinkClick xmlns:r="http://schemas.openxmlformats.org/officeDocument/2006/relationships" r:id="rId5"/>
            <a:extLst>
              <a:ext uri="{FF2B5EF4-FFF2-40B4-BE49-F238E27FC236}">
                <a16:creationId xmlns:a16="http://schemas.microsoft.com/office/drawing/2014/main" id="{00000000-0008-0000-0A00-0000E4CE0E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1" y="256"/>
            <a:ext cx="305" cy="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70469" name="Picture 9" descr="The ABCs of radio Control - Aircraft, Boats, and Cars">
            <a:hlinkClick xmlns:r="http://schemas.openxmlformats.org/officeDocument/2006/relationships" r:id="rId5"/>
            <a:extLst>
              <a:ext uri="{FF2B5EF4-FFF2-40B4-BE49-F238E27FC236}">
                <a16:creationId xmlns:a16="http://schemas.microsoft.com/office/drawing/2014/main" id="{00000000-0008-0000-0A00-0000E5CE0E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1" y="318"/>
            <a:ext cx="30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5</xdr:col>
      <xdr:colOff>514350</xdr:colOff>
      <xdr:row>12</xdr:row>
      <xdr:rowOff>133350</xdr:rowOff>
    </xdr:from>
    <xdr:to>
      <xdr:col>9</xdr:col>
      <xdr:colOff>142875</xdr:colOff>
      <xdr:row>16</xdr:row>
      <xdr:rowOff>57150</xdr:rowOff>
    </xdr:to>
    <xdr:pic>
      <xdr:nvPicPr>
        <xdr:cNvPr id="970460" name="Picture 10" descr="mainlogo">
          <a:hlinkClick xmlns:r="http://schemas.openxmlformats.org/officeDocument/2006/relationships" r:id="rId8"/>
          <a:extLst>
            <a:ext uri="{FF2B5EF4-FFF2-40B4-BE49-F238E27FC236}">
              <a16:creationId xmlns:a16="http://schemas.microsoft.com/office/drawing/2014/main" id="{00000000-0008-0000-0A00-0000DCCE0E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524250" y="1981200"/>
          <a:ext cx="23812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514350</xdr:colOff>
      <xdr:row>18</xdr:row>
      <xdr:rowOff>66675</xdr:rowOff>
    </xdr:from>
    <xdr:to>
      <xdr:col>8</xdr:col>
      <xdr:colOff>657225</xdr:colOff>
      <xdr:row>28</xdr:row>
      <xdr:rowOff>28575</xdr:rowOff>
    </xdr:to>
    <xdr:pic>
      <xdr:nvPicPr>
        <xdr:cNvPr id="970461" name="Picture 12" descr="crrc_logo.gif (4254 bytes)">
          <a:hlinkClick xmlns:r="http://schemas.openxmlformats.org/officeDocument/2006/relationships" r:id="rId10"/>
          <a:extLst>
            <a:ext uri="{FF2B5EF4-FFF2-40B4-BE49-F238E27FC236}">
              <a16:creationId xmlns:a16="http://schemas.microsoft.com/office/drawing/2014/main" id="{00000000-0008-0000-0A00-0000DDCE0E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210050" y="2828925"/>
          <a:ext cx="152400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189497</xdr:colOff>
      <xdr:row>1</xdr:row>
      <xdr:rowOff>78207</xdr:rowOff>
    </xdr:from>
    <xdr:to>
      <xdr:col>9</xdr:col>
      <xdr:colOff>438150</xdr:colOff>
      <xdr:row>4</xdr:row>
      <xdr:rowOff>0</xdr:rowOff>
    </xdr:to>
    <xdr:sp macro="" textlink="">
      <xdr:nvSpPr>
        <xdr:cNvPr id="9" name="WordArt 1">
          <a:extLst>
            <a:ext uri="{FF2B5EF4-FFF2-40B4-BE49-F238E27FC236}">
              <a16:creationId xmlns:a16="http://schemas.microsoft.com/office/drawing/2014/main" id="{00000000-0008-0000-0A00-000009000000}"/>
            </a:ext>
          </a:extLst>
        </xdr:cNvPr>
        <xdr:cNvSpPr>
          <a:spLocks noChangeArrowheads="1" noChangeShapeType="1" noTextEdit="1"/>
        </xdr:cNvSpPr>
      </xdr:nvSpPr>
      <xdr:spPr bwMode="auto">
        <a:xfrm>
          <a:off x="3199397" y="230607"/>
          <a:ext cx="3001378" cy="378993"/>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Please Visit</a:t>
          </a:r>
        </a:p>
      </xdr:txBody>
    </xdr:sp>
    <xdr:clientData/>
  </xdr:twoCellAnchor>
  <xdr:twoCellAnchor editAs="oneCell">
    <xdr:from>
      <xdr:col>9</xdr:col>
      <xdr:colOff>609600</xdr:colOff>
      <xdr:row>20</xdr:row>
      <xdr:rowOff>38100</xdr:rowOff>
    </xdr:from>
    <xdr:to>
      <xdr:col>13</xdr:col>
      <xdr:colOff>133350</xdr:colOff>
      <xdr:row>26</xdr:row>
      <xdr:rowOff>19050</xdr:rowOff>
    </xdr:to>
    <xdr:pic>
      <xdr:nvPicPr>
        <xdr:cNvPr id="970463" name="Picture 38" descr="Click to Bookmark">
          <a:hlinkClick xmlns:r="http://schemas.openxmlformats.org/officeDocument/2006/relationships" r:id="rId12"/>
          <a:extLst>
            <a:ext uri="{FF2B5EF4-FFF2-40B4-BE49-F238E27FC236}">
              <a16:creationId xmlns:a16="http://schemas.microsoft.com/office/drawing/2014/main" id="{00000000-0008-0000-0A00-0000DFCE0E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372225" y="3105150"/>
          <a:ext cx="22669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581025</xdr:colOff>
      <xdr:row>29</xdr:row>
      <xdr:rowOff>85725</xdr:rowOff>
    </xdr:from>
    <xdr:to>
      <xdr:col>13</xdr:col>
      <xdr:colOff>542925</xdr:colOff>
      <xdr:row>33</xdr:row>
      <xdr:rowOff>104775</xdr:rowOff>
    </xdr:to>
    <xdr:pic>
      <xdr:nvPicPr>
        <xdr:cNvPr id="970464" name="Picture 39" descr="AMA - Bringing Modelers Together">
          <a:hlinkClick xmlns:r="http://schemas.openxmlformats.org/officeDocument/2006/relationships" r:id="rId14"/>
          <a:extLst>
            <a:ext uri="{FF2B5EF4-FFF2-40B4-BE49-F238E27FC236}">
              <a16:creationId xmlns:a16="http://schemas.microsoft.com/office/drawing/2014/main" id="{00000000-0008-0000-0A00-0000E0CE0E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972050" y="4695825"/>
          <a:ext cx="40767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590550</xdr:colOff>
      <xdr:row>7</xdr:row>
      <xdr:rowOff>104775</xdr:rowOff>
    </xdr:from>
    <xdr:to>
      <xdr:col>13</xdr:col>
      <xdr:colOff>742950</xdr:colOff>
      <xdr:row>16</xdr:row>
      <xdr:rowOff>28575</xdr:rowOff>
    </xdr:to>
    <xdr:pic>
      <xdr:nvPicPr>
        <xdr:cNvPr id="970465" name="Picture 114" descr="On the 'Wing...">
          <a:hlinkClick xmlns:r="http://schemas.openxmlformats.org/officeDocument/2006/relationships" r:id="rId16"/>
          <a:extLst>
            <a:ext uri="{FF2B5EF4-FFF2-40B4-BE49-F238E27FC236}">
              <a16:creationId xmlns:a16="http://schemas.microsoft.com/office/drawing/2014/main" id="{00000000-0008-0000-0A00-0000E1CE0E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353175" y="1190625"/>
          <a:ext cx="2895600"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57150</xdr:colOff>
      <xdr:row>33</xdr:row>
      <xdr:rowOff>85725</xdr:rowOff>
    </xdr:from>
    <xdr:to>
      <xdr:col>5</xdr:col>
      <xdr:colOff>266700</xdr:colOff>
      <xdr:row>35</xdr:row>
      <xdr:rowOff>352425</xdr:rowOff>
    </xdr:to>
    <xdr:pic>
      <xdr:nvPicPr>
        <xdr:cNvPr id="970466" name="Picture 203" descr="titolo3">
          <a:hlinkClick xmlns:r="http://schemas.openxmlformats.org/officeDocument/2006/relationships" r:id="rId18"/>
          <a:extLst>
            <a:ext uri="{FF2B5EF4-FFF2-40B4-BE49-F238E27FC236}">
              <a16:creationId xmlns:a16="http://schemas.microsoft.com/office/drawing/2014/main" id="{00000000-0008-0000-0A00-0000E2CE0E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009650" y="5391150"/>
          <a:ext cx="22669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228600</xdr:colOff>
      <xdr:row>35</xdr:row>
      <xdr:rowOff>104775</xdr:rowOff>
    </xdr:from>
    <xdr:to>
      <xdr:col>12</xdr:col>
      <xdr:colOff>504825</xdr:colOff>
      <xdr:row>38</xdr:row>
      <xdr:rowOff>9525</xdr:rowOff>
    </xdr:to>
    <xdr:pic>
      <xdr:nvPicPr>
        <xdr:cNvPr id="970467" name="Picture 216" descr="xfoil_logo">
          <a:hlinkClick xmlns:r="http://schemas.openxmlformats.org/officeDocument/2006/relationships" r:id="rId20"/>
          <a:extLst>
            <a:ext uri="{FF2B5EF4-FFF2-40B4-BE49-F238E27FC236}">
              <a16:creationId xmlns:a16="http://schemas.microsoft.com/office/drawing/2014/main" id="{00000000-0008-0000-0A00-0000E3CE0E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305425" y="5724525"/>
          <a:ext cx="30194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304800</xdr:colOff>
      <xdr:row>19</xdr:row>
      <xdr:rowOff>365760</xdr:rowOff>
    </xdr:from>
    <xdr:to>
      <xdr:col>12</xdr:col>
      <xdr:colOff>666750</xdr:colOff>
      <xdr:row>39</xdr:row>
      <xdr:rowOff>1905</xdr:rowOff>
    </xdr:to>
    <xdr:graphicFrame macro="">
      <xdr:nvGraphicFramePr>
        <xdr:cNvPr id="1192117" name="Chart 1">
          <a:extLst>
            <a:ext uri="{FF2B5EF4-FFF2-40B4-BE49-F238E27FC236}">
              <a16:creationId xmlns:a16="http://schemas.microsoft.com/office/drawing/2014/main" id="{00000000-0008-0000-0100-0000B530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409575</xdr:colOff>
      <xdr:row>3</xdr:row>
      <xdr:rowOff>66675</xdr:rowOff>
    </xdr:from>
    <xdr:to>
      <xdr:col>1</xdr:col>
      <xdr:colOff>9525</xdr:colOff>
      <xdr:row>30</xdr:row>
      <xdr:rowOff>209550</xdr:rowOff>
    </xdr:to>
    <xdr:sp macro="" textlink="">
      <xdr:nvSpPr>
        <xdr:cNvPr id="1192118" name="Oval 3">
          <a:extLst>
            <a:ext uri="{FF2B5EF4-FFF2-40B4-BE49-F238E27FC236}">
              <a16:creationId xmlns:a16="http://schemas.microsoft.com/office/drawing/2014/main" id="{00000000-0008-0000-0100-0000B6301200}"/>
            </a:ext>
          </a:extLst>
        </xdr:cNvPr>
        <xdr:cNvSpPr>
          <a:spLocks noChangeArrowheads="1"/>
        </xdr:cNvSpPr>
      </xdr:nvSpPr>
      <xdr:spPr bwMode="auto">
        <a:xfrm>
          <a:off x="409575" y="552450"/>
          <a:ext cx="123825" cy="5029200"/>
        </a:xfrm>
        <a:prstGeom prst="ellipse">
          <a:avLst/>
        </a:prstGeom>
        <a:solidFill>
          <a:srgbClr val="FFFFFF"/>
        </a:solidFill>
        <a:ln w="9525">
          <a:solidFill>
            <a:srgbClr val="000000"/>
          </a:solidFill>
          <a:round/>
          <a:headEnd/>
          <a:tailEnd/>
        </a:ln>
      </xdr:spPr>
    </xdr:sp>
    <xdr:clientData/>
  </xdr:twoCellAnchor>
  <xdr:twoCellAnchor>
    <xdr:from>
      <xdr:col>0</xdr:col>
      <xdr:colOff>514350</xdr:colOff>
      <xdr:row>26</xdr:row>
      <xdr:rowOff>47625</xdr:rowOff>
    </xdr:from>
    <xdr:to>
      <xdr:col>2</xdr:col>
      <xdr:colOff>466725</xdr:colOff>
      <xdr:row>28</xdr:row>
      <xdr:rowOff>66675</xdr:rowOff>
    </xdr:to>
    <xdr:sp macro="" textlink="">
      <xdr:nvSpPr>
        <xdr:cNvPr id="1192119" name="Line 4">
          <a:extLst>
            <a:ext uri="{FF2B5EF4-FFF2-40B4-BE49-F238E27FC236}">
              <a16:creationId xmlns:a16="http://schemas.microsoft.com/office/drawing/2014/main" id="{00000000-0008-0000-0100-0000B7301200}"/>
            </a:ext>
          </a:extLst>
        </xdr:cNvPr>
        <xdr:cNvSpPr>
          <a:spLocks noChangeShapeType="1"/>
        </xdr:cNvSpPr>
      </xdr:nvSpPr>
      <xdr:spPr bwMode="auto">
        <a:xfrm flipH="1" flipV="1">
          <a:off x="514350" y="4819650"/>
          <a:ext cx="2009775"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485775</xdr:colOff>
      <xdr:row>28</xdr:row>
      <xdr:rowOff>66675</xdr:rowOff>
    </xdr:from>
    <xdr:to>
      <xdr:col>2</xdr:col>
      <xdr:colOff>485775</xdr:colOff>
      <xdr:row>30</xdr:row>
      <xdr:rowOff>104775</xdr:rowOff>
    </xdr:to>
    <xdr:sp macro="" textlink="">
      <xdr:nvSpPr>
        <xdr:cNvPr id="1192120" name="Line 5">
          <a:extLst>
            <a:ext uri="{FF2B5EF4-FFF2-40B4-BE49-F238E27FC236}">
              <a16:creationId xmlns:a16="http://schemas.microsoft.com/office/drawing/2014/main" id="{00000000-0008-0000-0100-0000B8301200}"/>
            </a:ext>
          </a:extLst>
        </xdr:cNvPr>
        <xdr:cNvSpPr>
          <a:spLocks noChangeShapeType="1"/>
        </xdr:cNvSpPr>
      </xdr:nvSpPr>
      <xdr:spPr bwMode="auto">
        <a:xfrm flipV="1">
          <a:off x="2543175" y="51625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30</xdr:row>
      <xdr:rowOff>47625</xdr:rowOff>
    </xdr:from>
    <xdr:to>
      <xdr:col>2</xdr:col>
      <xdr:colOff>466725</xdr:colOff>
      <xdr:row>30</xdr:row>
      <xdr:rowOff>114300</xdr:rowOff>
    </xdr:to>
    <xdr:sp macro="" textlink="">
      <xdr:nvSpPr>
        <xdr:cNvPr id="1192121" name="Line 6">
          <a:extLst>
            <a:ext uri="{FF2B5EF4-FFF2-40B4-BE49-F238E27FC236}">
              <a16:creationId xmlns:a16="http://schemas.microsoft.com/office/drawing/2014/main" id="{00000000-0008-0000-0100-0000B9301200}"/>
            </a:ext>
          </a:extLst>
        </xdr:cNvPr>
        <xdr:cNvSpPr>
          <a:spLocks noChangeShapeType="1"/>
        </xdr:cNvSpPr>
      </xdr:nvSpPr>
      <xdr:spPr bwMode="auto">
        <a:xfrm>
          <a:off x="704850" y="5467350"/>
          <a:ext cx="1819275" cy="66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29</xdr:row>
      <xdr:rowOff>0</xdr:rowOff>
    </xdr:from>
    <xdr:to>
      <xdr:col>1</xdr:col>
      <xdr:colOff>190500</xdr:colOff>
      <xdr:row>30</xdr:row>
      <xdr:rowOff>57150</xdr:rowOff>
    </xdr:to>
    <xdr:sp macro="" textlink="">
      <xdr:nvSpPr>
        <xdr:cNvPr id="1192122" name="Line 7">
          <a:extLst>
            <a:ext uri="{FF2B5EF4-FFF2-40B4-BE49-F238E27FC236}">
              <a16:creationId xmlns:a16="http://schemas.microsoft.com/office/drawing/2014/main" id="{00000000-0008-0000-0100-0000BA301200}"/>
            </a:ext>
          </a:extLst>
        </xdr:cNvPr>
        <xdr:cNvSpPr>
          <a:spLocks noChangeShapeType="1"/>
        </xdr:cNvSpPr>
      </xdr:nvSpPr>
      <xdr:spPr bwMode="auto">
        <a:xfrm>
          <a:off x="523875" y="5257800"/>
          <a:ext cx="19050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10</xdr:row>
      <xdr:rowOff>114300</xdr:rowOff>
    </xdr:from>
    <xdr:to>
      <xdr:col>3</xdr:col>
      <xdr:colOff>1009650</xdr:colOff>
      <xdr:row>11</xdr:row>
      <xdr:rowOff>57150</xdr:rowOff>
    </xdr:to>
    <xdr:sp macro="" textlink="">
      <xdr:nvSpPr>
        <xdr:cNvPr id="1192123" name="Line 8">
          <a:extLst>
            <a:ext uri="{FF2B5EF4-FFF2-40B4-BE49-F238E27FC236}">
              <a16:creationId xmlns:a16="http://schemas.microsoft.com/office/drawing/2014/main" id="{00000000-0008-0000-0100-0000BB301200}"/>
            </a:ext>
          </a:extLst>
        </xdr:cNvPr>
        <xdr:cNvSpPr>
          <a:spLocks noChangeShapeType="1"/>
        </xdr:cNvSpPr>
      </xdr:nvSpPr>
      <xdr:spPr bwMode="auto">
        <a:xfrm flipH="1" flipV="1">
          <a:off x="533400" y="1733550"/>
          <a:ext cx="3286125" cy="104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11</xdr:row>
      <xdr:rowOff>47625</xdr:rowOff>
    </xdr:from>
    <xdr:to>
      <xdr:col>4</xdr:col>
      <xdr:colOff>0</xdr:colOff>
      <xdr:row>15</xdr:row>
      <xdr:rowOff>0</xdr:rowOff>
    </xdr:to>
    <xdr:sp macro="" textlink="">
      <xdr:nvSpPr>
        <xdr:cNvPr id="1192124" name="Line 9">
          <a:extLst>
            <a:ext uri="{FF2B5EF4-FFF2-40B4-BE49-F238E27FC236}">
              <a16:creationId xmlns:a16="http://schemas.microsoft.com/office/drawing/2014/main" id="{00000000-0008-0000-0100-0000BC301200}"/>
            </a:ext>
          </a:extLst>
        </xdr:cNvPr>
        <xdr:cNvSpPr>
          <a:spLocks noChangeShapeType="1"/>
        </xdr:cNvSpPr>
      </xdr:nvSpPr>
      <xdr:spPr bwMode="auto">
        <a:xfrm flipV="1">
          <a:off x="3819525" y="1828800"/>
          <a:ext cx="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28575</xdr:colOff>
      <xdr:row>11</xdr:row>
      <xdr:rowOff>123825</xdr:rowOff>
    </xdr:from>
    <xdr:to>
      <xdr:col>7</xdr:col>
      <xdr:colOff>28575</xdr:colOff>
      <xdr:row>14</xdr:row>
      <xdr:rowOff>152400</xdr:rowOff>
    </xdr:to>
    <xdr:sp macro="" textlink="">
      <xdr:nvSpPr>
        <xdr:cNvPr id="1192125" name="Line 10">
          <a:extLst>
            <a:ext uri="{FF2B5EF4-FFF2-40B4-BE49-F238E27FC236}">
              <a16:creationId xmlns:a16="http://schemas.microsoft.com/office/drawing/2014/main" id="{00000000-0008-0000-0100-0000BD301200}"/>
            </a:ext>
          </a:extLst>
        </xdr:cNvPr>
        <xdr:cNvSpPr>
          <a:spLocks noChangeShapeType="1"/>
        </xdr:cNvSpPr>
      </xdr:nvSpPr>
      <xdr:spPr bwMode="auto">
        <a:xfrm flipV="1">
          <a:off x="6286500" y="1905000"/>
          <a:ext cx="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19050</xdr:colOff>
      <xdr:row>11</xdr:row>
      <xdr:rowOff>38100</xdr:rowOff>
    </xdr:from>
    <xdr:to>
      <xdr:col>7</xdr:col>
      <xdr:colOff>66675</xdr:colOff>
      <xdr:row>11</xdr:row>
      <xdr:rowOff>104775</xdr:rowOff>
    </xdr:to>
    <xdr:sp macro="" textlink="">
      <xdr:nvSpPr>
        <xdr:cNvPr id="1192126" name="Line 15">
          <a:extLst>
            <a:ext uri="{FF2B5EF4-FFF2-40B4-BE49-F238E27FC236}">
              <a16:creationId xmlns:a16="http://schemas.microsoft.com/office/drawing/2014/main" id="{00000000-0008-0000-0100-0000BE301200}"/>
            </a:ext>
          </a:extLst>
        </xdr:cNvPr>
        <xdr:cNvSpPr>
          <a:spLocks noChangeShapeType="1"/>
        </xdr:cNvSpPr>
      </xdr:nvSpPr>
      <xdr:spPr bwMode="auto">
        <a:xfrm>
          <a:off x="3838575" y="1819275"/>
          <a:ext cx="2486025" cy="66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20955</xdr:colOff>
      <xdr:row>12</xdr:row>
      <xdr:rowOff>85725</xdr:rowOff>
    </xdr:from>
    <xdr:to>
      <xdr:col>10</xdr:col>
      <xdr:colOff>20955</xdr:colOff>
      <xdr:row>15</xdr:row>
      <xdr:rowOff>0</xdr:rowOff>
    </xdr:to>
    <xdr:sp macro="" textlink="">
      <xdr:nvSpPr>
        <xdr:cNvPr id="1192127" name="Line 72">
          <a:extLst>
            <a:ext uri="{FF2B5EF4-FFF2-40B4-BE49-F238E27FC236}">
              <a16:creationId xmlns:a16="http://schemas.microsoft.com/office/drawing/2014/main" id="{00000000-0008-0000-0100-0000BF301200}"/>
            </a:ext>
          </a:extLst>
        </xdr:cNvPr>
        <xdr:cNvSpPr>
          <a:spLocks noChangeShapeType="1"/>
        </xdr:cNvSpPr>
      </xdr:nvSpPr>
      <xdr:spPr bwMode="auto">
        <a:xfrm>
          <a:off x="9340215" y="2219325"/>
          <a:ext cx="0" cy="39433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1171575</xdr:colOff>
      <xdr:row>12</xdr:row>
      <xdr:rowOff>0</xdr:rowOff>
    </xdr:from>
    <xdr:to>
      <xdr:col>10</xdr:col>
      <xdr:colOff>19050</xdr:colOff>
      <xdr:row>12</xdr:row>
      <xdr:rowOff>95250</xdr:rowOff>
    </xdr:to>
    <xdr:sp macro="" textlink="">
      <xdr:nvSpPr>
        <xdr:cNvPr id="1192128" name="Line 74">
          <a:extLst>
            <a:ext uri="{FF2B5EF4-FFF2-40B4-BE49-F238E27FC236}">
              <a16:creationId xmlns:a16="http://schemas.microsoft.com/office/drawing/2014/main" id="{00000000-0008-0000-0100-0000C0301200}"/>
            </a:ext>
          </a:extLst>
        </xdr:cNvPr>
        <xdr:cNvSpPr>
          <a:spLocks noChangeShapeType="1"/>
        </xdr:cNvSpPr>
      </xdr:nvSpPr>
      <xdr:spPr bwMode="auto">
        <a:xfrm>
          <a:off x="8343900" y="1943100"/>
          <a:ext cx="1000125" cy="95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12</xdr:row>
      <xdr:rowOff>38100</xdr:rowOff>
    </xdr:from>
    <xdr:to>
      <xdr:col>9</xdr:col>
      <xdr:colOff>0</xdr:colOff>
      <xdr:row>15</xdr:row>
      <xdr:rowOff>0</xdr:rowOff>
    </xdr:to>
    <xdr:sp macro="" textlink="">
      <xdr:nvSpPr>
        <xdr:cNvPr id="1192129" name="Line 77">
          <a:extLst>
            <a:ext uri="{FF2B5EF4-FFF2-40B4-BE49-F238E27FC236}">
              <a16:creationId xmlns:a16="http://schemas.microsoft.com/office/drawing/2014/main" id="{00000000-0008-0000-0100-0000C1301200}"/>
            </a:ext>
          </a:extLst>
        </xdr:cNvPr>
        <xdr:cNvSpPr>
          <a:spLocks noChangeShapeType="1"/>
        </xdr:cNvSpPr>
      </xdr:nvSpPr>
      <xdr:spPr bwMode="auto">
        <a:xfrm>
          <a:off x="8362950" y="198120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47625</xdr:colOff>
      <xdr:row>11</xdr:row>
      <xdr:rowOff>95250</xdr:rowOff>
    </xdr:from>
    <xdr:to>
      <xdr:col>8</xdr:col>
      <xdr:colOff>1171575</xdr:colOff>
      <xdr:row>11</xdr:row>
      <xdr:rowOff>152400</xdr:rowOff>
    </xdr:to>
    <xdr:sp macro="" textlink="">
      <xdr:nvSpPr>
        <xdr:cNvPr id="1192130" name="Line 78">
          <a:extLst>
            <a:ext uri="{FF2B5EF4-FFF2-40B4-BE49-F238E27FC236}">
              <a16:creationId xmlns:a16="http://schemas.microsoft.com/office/drawing/2014/main" id="{00000000-0008-0000-0100-0000C2301200}"/>
            </a:ext>
          </a:extLst>
        </xdr:cNvPr>
        <xdr:cNvSpPr>
          <a:spLocks noChangeShapeType="1"/>
        </xdr:cNvSpPr>
      </xdr:nvSpPr>
      <xdr:spPr bwMode="auto">
        <a:xfrm flipH="1" flipV="1">
          <a:off x="6305550" y="1876425"/>
          <a:ext cx="2038350" cy="57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393700</xdr:colOff>
      <xdr:row>1</xdr:row>
      <xdr:rowOff>12701</xdr:rowOff>
    </xdr:from>
    <xdr:to>
      <xdr:col>7</xdr:col>
      <xdr:colOff>28575</xdr:colOff>
      <xdr:row>5</xdr:row>
      <xdr:rowOff>47625</xdr:rowOff>
    </xdr:to>
    <xdr:sp macro="" textlink="">
      <xdr:nvSpPr>
        <xdr:cNvPr id="18" name="WordArt 23">
          <a:extLst>
            <a:ext uri="{FF2B5EF4-FFF2-40B4-BE49-F238E27FC236}">
              <a16:creationId xmlns:a16="http://schemas.microsoft.com/office/drawing/2014/main" id="{00000000-0008-0000-0100-000012000000}"/>
            </a:ext>
          </a:extLst>
        </xdr:cNvPr>
        <xdr:cNvSpPr>
          <a:spLocks noChangeArrowheads="1" noChangeShapeType="1" noTextEdit="1"/>
        </xdr:cNvSpPr>
      </xdr:nvSpPr>
      <xdr:spPr bwMode="auto">
        <a:xfrm>
          <a:off x="3203575" y="174626"/>
          <a:ext cx="3082925" cy="682624"/>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Wing</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142875</xdr:colOff>
      <xdr:row>5</xdr:row>
      <xdr:rowOff>133350</xdr:rowOff>
    </xdr:from>
    <xdr:to>
      <xdr:col>10</xdr:col>
      <xdr:colOff>742950</xdr:colOff>
      <xdr:row>19</xdr:row>
      <xdr:rowOff>123825</xdr:rowOff>
    </xdr:to>
    <xdr:graphicFrame macro="">
      <xdr:nvGraphicFramePr>
        <xdr:cNvPr id="859668" name="Chart 1">
          <a:extLst>
            <a:ext uri="{FF2B5EF4-FFF2-40B4-BE49-F238E27FC236}">
              <a16:creationId xmlns:a16="http://schemas.microsoft.com/office/drawing/2014/main" id="{00000000-0008-0000-0200-0000141E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11</xdr:row>
      <xdr:rowOff>133350</xdr:rowOff>
    </xdr:from>
    <xdr:to>
      <xdr:col>4</xdr:col>
      <xdr:colOff>0</xdr:colOff>
      <xdr:row>15</xdr:row>
      <xdr:rowOff>0</xdr:rowOff>
    </xdr:to>
    <xdr:sp macro="" textlink="">
      <xdr:nvSpPr>
        <xdr:cNvPr id="859669" name="Line 3">
          <a:extLst>
            <a:ext uri="{FF2B5EF4-FFF2-40B4-BE49-F238E27FC236}">
              <a16:creationId xmlns:a16="http://schemas.microsoft.com/office/drawing/2014/main" id="{00000000-0008-0000-0200-0000151E0D00}"/>
            </a:ext>
          </a:extLst>
        </xdr:cNvPr>
        <xdr:cNvSpPr>
          <a:spLocks noChangeShapeType="1"/>
        </xdr:cNvSpPr>
      </xdr:nvSpPr>
      <xdr:spPr bwMode="auto">
        <a:xfrm flipV="1">
          <a:off x="3114675" y="1962150"/>
          <a:ext cx="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xdr:row>
      <xdr:rowOff>0</xdr:rowOff>
    </xdr:from>
    <xdr:to>
      <xdr:col>4</xdr:col>
      <xdr:colOff>0</xdr:colOff>
      <xdr:row>11</xdr:row>
      <xdr:rowOff>142875</xdr:rowOff>
    </xdr:to>
    <xdr:sp macro="" textlink="">
      <xdr:nvSpPr>
        <xdr:cNvPr id="859670" name="Line 4">
          <a:extLst>
            <a:ext uri="{FF2B5EF4-FFF2-40B4-BE49-F238E27FC236}">
              <a16:creationId xmlns:a16="http://schemas.microsoft.com/office/drawing/2014/main" id="{00000000-0008-0000-0200-0000161E0D00}"/>
            </a:ext>
          </a:extLst>
        </xdr:cNvPr>
        <xdr:cNvSpPr>
          <a:spLocks noChangeShapeType="1"/>
        </xdr:cNvSpPr>
      </xdr:nvSpPr>
      <xdr:spPr bwMode="auto">
        <a:xfrm flipH="1" flipV="1">
          <a:off x="266700" y="1666875"/>
          <a:ext cx="2847975"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190500</xdr:colOff>
      <xdr:row>6</xdr:row>
      <xdr:rowOff>123825</xdr:rowOff>
    </xdr:from>
    <xdr:to>
      <xdr:col>1</xdr:col>
      <xdr:colOff>9525</xdr:colOff>
      <xdr:row>17</xdr:row>
      <xdr:rowOff>152400</xdr:rowOff>
    </xdr:to>
    <xdr:grpSp>
      <xdr:nvGrpSpPr>
        <xdr:cNvPr id="859671" name="Group 22">
          <a:extLst>
            <a:ext uri="{FF2B5EF4-FFF2-40B4-BE49-F238E27FC236}">
              <a16:creationId xmlns:a16="http://schemas.microsoft.com/office/drawing/2014/main" id="{00000000-0008-0000-0200-0000171E0D00}"/>
            </a:ext>
          </a:extLst>
        </xdr:cNvPr>
        <xdr:cNvGrpSpPr>
          <a:grpSpLocks/>
        </xdr:cNvGrpSpPr>
      </xdr:nvGrpSpPr>
      <xdr:grpSpPr bwMode="auto">
        <a:xfrm>
          <a:off x="190500" y="1095375"/>
          <a:ext cx="85725" cy="1857375"/>
          <a:chOff x="37" y="34"/>
          <a:chExt cx="17" cy="209"/>
        </a:xfrm>
      </xdr:grpSpPr>
      <xdr:sp macro="" textlink="">
        <xdr:nvSpPr>
          <xdr:cNvPr id="859673" name="Arc 18">
            <a:extLst>
              <a:ext uri="{FF2B5EF4-FFF2-40B4-BE49-F238E27FC236}">
                <a16:creationId xmlns:a16="http://schemas.microsoft.com/office/drawing/2014/main" id="{00000000-0008-0000-0200-0000191E0D00}"/>
              </a:ext>
            </a:extLst>
          </xdr:cNvPr>
          <xdr:cNvSpPr>
            <a:spLocks/>
          </xdr:cNvSpPr>
        </xdr:nvSpPr>
        <xdr:spPr bwMode="auto">
          <a:xfrm flipH="1" flipV="1">
            <a:off x="37" y="34"/>
            <a:ext cx="8" cy="20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59674" name="Arc 19">
            <a:extLst>
              <a:ext uri="{FF2B5EF4-FFF2-40B4-BE49-F238E27FC236}">
                <a16:creationId xmlns:a16="http://schemas.microsoft.com/office/drawing/2014/main" id="{00000000-0008-0000-0200-00001A1E0D00}"/>
              </a:ext>
            </a:extLst>
          </xdr:cNvPr>
          <xdr:cNvSpPr>
            <a:spLocks/>
          </xdr:cNvSpPr>
        </xdr:nvSpPr>
        <xdr:spPr bwMode="auto">
          <a:xfrm flipV="1">
            <a:off x="45" y="34"/>
            <a:ext cx="9" cy="209"/>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104774</xdr:colOff>
      <xdr:row>0</xdr:row>
      <xdr:rowOff>95250</xdr:rowOff>
    </xdr:from>
    <xdr:to>
      <xdr:col>9</xdr:col>
      <xdr:colOff>238125</xdr:colOff>
      <xdr:row>3</xdr:row>
      <xdr:rowOff>142875</xdr:rowOff>
    </xdr:to>
    <xdr:sp macro="" textlink="">
      <xdr:nvSpPr>
        <xdr:cNvPr id="2071" name="WordArt 23">
          <a:extLst>
            <a:ext uri="{FF2B5EF4-FFF2-40B4-BE49-F238E27FC236}">
              <a16:creationId xmlns:a16="http://schemas.microsoft.com/office/drawing/2014/main" id="{00000000-0008-0000-0200-000017080000}"/>
            </a:ext>
          </a:extLst>
        </xdr:cNvPr>
        <xdr:cNvSpPr>
          <a:spLocks noChangeArrowheads="1" noChangeShapeType="1" noTextEdit="1"/>
        </xdr:cNvSpPr>
      </xdr:nvSpPr>
      <xdr:spPr bwMode="auto">
        <a:xfrm>
          <a:off x="1981199" y="95250"/>
          <a:ext cx="5048251" cy="533400"/>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Horizontal Stabilizer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76200</xdr:colOff>
      <xdr:row>1</xdr:row>
      <xdr:rowOff>28575</xdr:rowOff>
    </xdr:from>
    <xdr:to>
      <xdr:col>8</xdr:col>
      <xdr:colOff>95250</xdr:colOff>
      <xdr:row>4</xdr:row>
      <xdr:rowOff>19050</xdr:rowOff>
    </xdr:to>
    <xdr:sp macro="" textlink="">
      <xdr:nvSpPr>
        <xdr:cNvPr id="24577" name="WordArt 1">
          <a:extLst>
            <a:ext uri="{FF2B5EF4-FFF2-40B4-BE49-F238E27FC236}">
              <a16:creationId xmlns:a16="http://schemas.microsoft.com/office/drawing/2014/main" id="{00000000-0008-0000-0300-000001600000}"/>
            </a:ext>
          </a:extLst>
        </xdr:cNvPr>
        <xdr:cNvSpPr>
          <a:spLocks noChangeArrowheads="1" noChangeShapeType="1" noTextEdit="1"/>
        </xdr:cNvSpPr>
      </xdr:nvSpPr>
      <xdr:spPr bwMode="auto">
        <a:xfrm>
          <a:off x="1162050" y="180975"/>
          <a:ext cx="5048250" cy="447675"/>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Vertical Stabilizer</a:t>
          </a:r>
        </a:p>
      </xdr:txBody>
    </xdr:sp>
    <xdr:clientData/>
  </xdr:twoCellAnchor>
  <xdr:twoCellAnchor>
    <xdr:from>
      <xdr:col>1</xdr:col>
      <xdr:colOff>762000</xdr:colOff>
      <xdr:row>10</xdr:row>
      <xdr:rowOff>19050</xdr:rowOff>
    </xdr:from>
    <xdr:to>
      <xdr:col>3</xdr:col>
      <xdr:colOff>85725</xdr:colOff>
      <xdr:row>10</xdr:row>
      <xdr:rowOff>19050</xdr:rowOff>
    </xdr:to>
    <xdr:sp macro="" textlink="">
      <xdr:nvSpPr>
        <xdr:cNvPr id="861869" name="Line 17">
          <a:extLst>
            <a:ext uri="{FF2B5EF4-FFF2-40B4-BE49-F238E27FC236}">
              <a16:creationId xmlns:a16="http://schemas.microsoft.com/office/drawing/2014/main" id="{00000000-0008-0000-0300-0000AD260D00}"/>
            </a:ext>
          </a:extLst>
        </xdr:cNvPr>
        <xdr:cNvSpPr>
          <a:spLocks noChangeShapeType="1"/>
        </xdr:cNvSpPr>
      </xdr:nvSpPr>
      <xdr:spPr bwMode="auto">
        <a:xfrm>
          <a:off x="1038225" y="1600200"/>
          <a:ext cx="1343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10</xdr:row>
      <xdr:rowOff>38100</xdr:rowOff>
    </xdr:from>
    <xdr:to>
      <xdr:col>3</xdr:col>
      <xdr:colOff>285750</xdr:colOff>
      <xdr:row>15</xdr:row>
      <xdr:rowOff>152400</xdr:rowOff>
    </xdr:to>
    <xdr:sp macro="" textlink="">
      <xdr:nvSpPr>
        <xdr:cNvPr id="861870" name="Line 18">
          <a:extLst>
            <a:ext uri="{FF2B5EF4-FFF2-40B4-BE49-F238E27FC236}">
              <a16:creationId xmlns:a16="http://schemas.microsoft.com/office/drawing/2014/main" id="{00000000-0008-0000-0300-0000AE260D00}"/>
            </a:ext>
          </a:extLst>
        </xdr:cNvPr>
        <xdr:cNvSpPr>
          <a:spLocks noChangeShapeType="1"/>
        </xdr:cNvSpPr>
      </xdr:nvSpPr>
      <xdr:spPr bwMode="auto">
        <a:xfrm>
          <a:off x="2381250" y="1619250"/>
          <a:ext cx="200025" cy="1019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15</xdr:row>
      <xdr:rowOff>152400</xdr:rowOff>
    </xdr:from>
    <xdr:to>
      <xdr:col>3</xdr:col>
      <xdr:colOff>285750</xdr:colOff>
      <xdr:row>21</xdr:row>
      <xdr:rowOff>180975</xdr:rowOff>
    </xdr:to>
    <xdr:sp macro="" textlink="">
      <xdr:nvSpPr>
        <xdr:cNvPr id="861871" name="Line 19">
          <a:extLst>
            <a:ext uri="{FF2B5EF4-FFF2-40B4-BE49-F238E27FC236}">
              <a16:creationId xmlns:a16="http://schemas.microsoft.com/office/drawing/2014/main" id="{00000000-0008-0000-0300-0000AF260D00}"/>
            </a:ext>
          </a:extLst>
        </xdr:cNvPr>
        <xdr:cNvSpPr>
          <a:spLocks noChangeShapeType="1"/>
        </xdr:cNvSpPr>
      </xdr:nvSpPr>
      <xdr:spPr bwMode="auto">
        <a:xfrm flipH="1">
          <a:off x="2295525" y="2638425"/>
          <a:ext cx="285750" cy="1114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695325</xdr:colOff>
      <xdr:row>21</xdr:row>
      <xdr:rowOff>180975</xdr:rowOff>
    </xdr:from>
    <xdr:to>
      <xdr:col>3</xdr:col>
      <xdr:colOff>0</xdr:colOff>
      <xdr:row>21</xdr:row>
      <xdr:rowOff>180975</xdr:rowOff>
    </xdr:to>
    <xdr:sp macro="" textlink="">
      <xdr:nvSpPr>
        <xdr:cNvPr id="861872" name="Line 20">
          <a:extLst>
            <a:ext uri="{FF2B5EF4-FFF2-40B4-BE49-F238E27FC236}">
              <a16:creationId xmlns:a16="http://schemas.microsoft.com/office/drawing/2014/main" id="{00000000-0008-0000-0300-0000B0260D00}"/>
            </a:ext>
          </a:extLst>
        </xdr:cNvPr>
        <xdr:cNvSpPr>
          <a:spLocks noChangeShapeType="1"/>
        </xdr:cNvSpPr>
      </xdr:nvSpPr>
      <xdr:spPr bwMode="auto">
        <a:xfrm flipH="1">
          <a:off x="971550" y="3752850"/>
          <a:ext cx="1323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561975</xdr:colOff>
      <xdr:row>16</xdr:row>
      <xdr:rowOff>9525</xdr:rowOff>
    </xdr:from>
    <xdr:to>
      <xdr:col>1</xdr:col>
      <xdr:colOff>685800</xdr:colOff>
      <xdr:row>21</xdr:row>
      <xdr:rowOff>180975</xdr:rowOff>
    </xdr:to>
    <xdr:sp macro="" textlink="">
      <xdr:nvSpPr>
        <xdr:cNvPr id="861873" name="Line 21">
          <a:extLst>
            <a:ext uri="{FF2B5EF4-FFF2-40B4-BE49-F238E27FC236}">
              <a16:creationId xmlns:a16="http://schemas.microsoft.com/office/drawing/2014/main" id="{00000000-0008-0000-0300-0000B1260D00}"/>
            </a:ext>
          </a:extLst>
        </xdr:cNvPr>
        <xdr:cNvSpPr>
          <a:spLocks noChangeShapeType="1"/>
        </xdr:cNvSpPr>
      </xdr:nvSpPr>
      <xdr:spPr bwMode="auto">
        <a:xfrm flipH="1" flipV="1">
          <a:off x="838200" y="2676525"/>
          <a:ext cx="123825" cy="10763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561975</xdr:colOff>
      <xdr:row>16</xdr:row>
      <xdr:rowOff>0</xdr:rowOff>
    </xdr:from>
    <xdr:to>
      <xdr:col>3</xdr:col>
      <xdr:colOff>304800</xdr:colOff>
      <xdr:row>16</xdr:row>
      <xdr:rowOff>0</xdr:rowOff>
    </xdr:to>
    <xdr:sp macro="" textlink="">
      <xdr:nvSpPr>
        <xdr:cNvPr id="861874" name="Line 22">
          <a:extLst>
            <a:ext uri="{FF2B5EF4-FFF2-40B4-BE49-F238E27FC236}">
              <a16:creationId xmlns:a16="http://schemas.microsoft.com/office/drawing/2014/main" id="{00000000-0008-0000-0300-0000B2260D00}"/>
            </a:ext>
          </a:extLst>
        </xdr:cNvPr>
        <xdr:cNvSpPr>
          <a:spLocks noChangeShapeType="1"/>
        </xdr:cNvSpPr>
      </xdr:nvSpPr>
      <xdr:spPr bwMode="auto">
        <a:xfrm flipV="1">
          <a:off x="838200" y="2667000"/>
          <a:ext cx="1762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571500</xdr:colOff>
      <xdr:row>10</xdr:row>
      <xdr:rowOff>38100</xdr:rowOff>
    </xdr:from>
    <xdr:to>
      <xdr:col>1</xdr:col>
      <xdr:colOff>762000</xdr:colOff>
      <xdr:row>16</xdr:row>
      <xdr:rowOff>9525</xdr:rowOff>
    </xdr:to>
    <xdr:sp macro="" textlink="">
      <xdr:nvSpPr>
        <xdr:cNvPr id="861875" name="Line 23">
          <a:extLst>
            <a:ext uri="{FF2B5EF4-FFF2-40B4-BE49-F238E27FC236}">
              <a16:creationId xmlns:a16="http://schemas.microsoft.com/office/drawing/2014/main" id="{00000000-0008-0000-0300-0000B3260D00}"/>
            </a:ext>
          </a:extLst>
        </xdr:cNvPr>
        <xdr:cNvSpPr>
          <a:spLocks noChangeShapeType="1"/>
        </xdr:cNvSpPr>
      </xdr:nvSpPr>
      <xdr:spPr bwMode="auto">
        <a:xfrm flipV="1">
          <a:off x="847725" y="1619250"/>
          <a:ext cx="190500" cy="1057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247650</xdr:colOff>
      <xdr:row>5</xdr:row>
      <xdr:rowOff>106680</xdr:rowOff>
    </xdr:from>
    <xdr:to>
      <xdr:col>7</xdr:col>
      <xdr:colOff>1005839</xdr:colOff>
      <xdr:row>26</xdr:row>
      <xdr:rowOff>123825</xdr:rowOff>
    </xdr:to>
    <xdr:graphicFrame macro="">
      <xdr:nvGraphicFramePr>
        <xdr:cNvPr id="861876" name="Chart 24">
          <a:extLst>
            <a:ext uri="{FF2B5EF4-FFF2-40B4-BE49-F238E27FC236}">
              <a16:creationId xmlns:a16="http://schemas.microsoft.com/office/drawing/2014/main" id="{00000000-0008-0000-0300-0000B426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142875</xdr:colOff>
      <xdr:row>6</xdr:row>
      <xdr:rowOff>19050</xdr:rowOff>
    </xdr:from>
    <xdr:to>
      <xdr:col>8</xdr:col>
      <xdr:colOff>552450</xdr:colOff>
      <xdr:row>24</xdr:row>
      <xdr:rowOff>142875</xdr:rowOff>
    </xdr:to>
    <xdr:graphicFrame macro="">
      <xdr:nvGraphicFramePr>
        <xdr:cNvPr id="18964" name="Chart 1">
          <a:extLst>
            <a:ext uri="{FF2B5EF4-FFF2-40B4-BE49-F238E27FC236}">
              <a16:creationId xmlns:a16="http://schemas.microsoft.com/office/drawing/2014/main" id="{00000000-0008-0000-0400-0000144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1630279</xdr:colOff>
      <xdr:row>1</xdr:row>
      <xdr:rowOff>94749</xdr:rowOff>
    </xdr:from>
    <xdr:to>
      <xdr:col>7</xdr:col>
      <xdr:colOff>568993</xdr:colOff>
      <xdr:row>4</xdr:row>
      <xdr:rowOff>148891</xdr:rowOff>
    </xdr:to>
    <xdr:sp macro="" textlink="">
      <xdr:nvSpPr>
        <xdr:cNvPr id="18483" name="WordArt 51">
          <a:extLst>
            <a:ext uri="{FF2B5EF4-FFF2-40B4-BE49-F238E27FC236}">
              <a16:creationId xmlns:a16="http://schemas.microsoft.com/office/drawing/2014/main" id="{00000000-0008-0000-0400-000033480000}"/>
            </a:ext>
          </a:extLst>
        </xdr:cNvPr>
        <xdr:cNvSpPr>
          <a:spLocks noChangeArrowheads="1" noChangeShapeType="1" noTextEdit="1"/>
        </xdr:cNvSpPr>
      </xdr:nvSpPr>
      <xdr:spPr bwMode="auto">
        <a:xfrm>
          <a:off x="1961147" y="255170"/>
          <a:ext cx="5325478" cy="535405"/>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Balance Point (CG)</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762000</xdr:colOff>
      <xdr:row>12</xdr:row>
      <xdr:rowOff>38100</xdr:rowOff>
    </xdr:from>
    <xdr:to>
      <xdr:col>3</xdr:col>
      <xdr:colOff>895350</xdr:colOff>
      <xdr:row>13</xdr:row>
      <xdr:rowOff>142875</xdr:rowOff>
    </xdr:to>
    <xdr:sp macro="" textlink="">
      <xdr:nvSpPr>
        <xdr:cNvPr id="1196224" name="Line 1">
          <a:extLst>
            <a:ext uri="{FF2B5EF4-FFF2-40B4-BE49-F238E27FC236}">
              <a16:creationId xmlns:a16="http://schemas.microsoft.com/office/drawing/2014/main" id="{00000000-0008-0000-0500-0000C0401200}"/>
            </a:ext>
          </a:extLst>
        </xdr:cNvPr>
        <xdr:cNvSpPr>
          <a:spLocks noChangeShapeType="1"/>
        </xdr:cNvSpPr>
      </xdr:nvSpPr>
      <xdr:spPr bwMode="auto">
        <a:xfrm flipV="1">
          <a:off x="523875" y="1924050"/>
          <a:ext cx="2628900" cy="266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10</xdr:row>
      <xdr:rowOff>9525</xdr:rowOff>
    </xdr:from>
    <xdr:to>
      <xdr:col>6</xdr:col>
      <xdr:colOff>676275</xdr:colOff>
      <xdr:row>12</xdr:row>
      <xdr:rowOff>47625</xdr:rowOff>
    </xdr:to>
    <xdr:sp macro="" textlink="">
      <xdr:nvSpPr>
        <xdr:cNvPr id="1196225" name="Line 2">
          <a:extLst>
            <a:ext uri="{FF2B5EF4-FFF2-40B4-BE49-F238E27FC236}">
              <a16:creationId xmlns:a16="http://schemas.microsoft.com/office/drawing/2014/main" id="{00000000-0008-0000-0500-0000C1401200}"/>
            </a:ext>
          </a:extLst>
        </xdr:cNvPr>
        <xdr:cNvSpPr>
          <a:spLocks noChangeShapeType="1"/>
        </xdr:cNvSpPr>
      </xdr:nvSpPr>
      <xdr:spPr bwMode="auto">
        <a:xfrm flipV="1">
          <a:off x="3152775" y="1571625"/>
          <a:ext cx="1838325"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pl-PL"/>
        </a:p>
      </xdr:txBody>
    </xdr:sp>
    <xdr:clientData/>
  </xdr:twoCellAnchor>
  <xdr:twoCellAnchor>
    <xdr:from>
      <xdr:col>7</xdr:col>
      <xdr:colOff>0</xdr:colOff>
      <xdr:row>7</xdr:row>
      <xdr:rowOff>152400</xdr:rowOff>
    </xdr:from>
    <xdr:to>
      <xdr:col>8</xdr:col>
      <xdr:colOff>19050</xdr:colOff>
      <xdr:row>9</xdr:row>
      <xdr:rowOff>76200</xdr:rowOff>
    </xdr:to>
    <xdr:sp macro="" textlink="">
      <xdr:nvSpPr>
        <xdr:cNvPr id="1196226" name="Line 3">
          <a:extLst>
            <a:ext uri="{FF2B5EF4-FFF2-40B4-BE49-F238E27FC236}">
              <a16:creationId xmlns:a16="http://schemas.microsoft.com/office/drawing/2014/main" id="{00000000-0008-0000-0500-0000C2401200}"/>
            </a:ext>
          </a:extLst>
        </xdr:cNvPr>
        <xdr:cNvSpPr>
          <a:spLocks noChangeShapeType="1"/>
        </xdr:cNvSpPr>
      </xdr:nvSpPr>
      <xdr:spPr bwMode="auto">
        <a:xfrm flipV="1">
          <a:off x="5000625" y="1228725"/>
          <a:ext cx="704850"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885825</xdr:colOff>
      <xdr:row>11</xdr:row>
      <xdr:rowOff>85725</xdr:rowOff>
    </xdr:from>
    <xdr:to>
      <xdr:col>3</xdr:col>
      <xdr:colOff>885825</xdr:colOff>
      <xdr:row>13</xdr:row>
      <xdr:rowOff>142875</xdr:rowOff>
    </xdr:to>
    <xdr:sp macro="" textlink="">
      <xdr:nvSpPr>
        <xdr:cNvPr id="1196227" name="Line 4">
          <a:extLst>
            <a:ext uri="{FF2B5EF4-FFF2-40B4-BE49-F238E27FC236}">
              <a16:creationId xmlns:a16="http://schemas.microsoft.com/office/drawing/2014/main" id="{00000000-0008-0000-0500-0000C3401200}"/>
            </a:ext>
          </a:extLst>
        </xdr:cNvPr>
        <xdr:cNvSpPr>
          <a:spLocks noChangeShapeType="1"/>
        </xdr:cNvSpPr>
      </xdr:nvSpPr>
      <xdr:spPr bwMode="auto">
        <a:xfrm>
          <a:off x="3152775" y="1809750"/>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152400</xdr:rowOff>
    </xdr:from>
    <xdr:to>
      <xdr:col>7</xdr:col>
      <xdr:colOff>0</xdr:colOff>
      <xdr:row>13</xdr:row>
      <xdr:rowOff>152400</xdr:rowOff>
    </xdr:to>
    <xdr:sp macro="" textlink="">
      <xdr:nvSpPr>
        <xdr:cNvPr id="1196228" name="Line 5">
          <a:extLst>
            <a:ext uri="{FF2B5EF4-FFF2-40B4-BE49-F238E27FC236}">
              <a16:creationId xmlns:a16="http://schemas.microsoft.com/office/drawing/2014/main" id="{00000000-0008-0000-0500-0000C4401200}"/>
            </a:ext>
          </a:extLst>
        </xdr:cNvPr>
        <xdr:cNvSpPr>
          <a:spLocks noChangeShapeType="1"/>
        </xdr:cNvSpPr>
      </xdr:nvSpPr>
      <xdr:spPr bwMode="auto">
        <a:xfrm>
          <a:off x="5000625" y="1552575"/>
          <a:ext cx="0" cy="647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8</xdr:row>
      <xdr:rowOff>76200</xdr:rowOff>
    </xdr:from>
    <xdr:to>
      <xdr:col>8</xdr:col>
      <xdr:colOff>0</xdr:colOff>
      <xdr:row>13</xdr:row>
      <xdr:rowOff>142875</xdr:rowOff>
    </xdr:to>
    <xdr:sp macro="" textlink="">
      <xdr:nvSpPr>
        <xdr:cNvPr id="1196229" name="Line 6">
          <a:extLst>
            <a:ext uri="{FF2B5EF4-FFF2-40B4-BE49-F238E27FC236}">
              <a16:creationId xmlns:a16="http://schemas.microsoft.com/office/drawing/2014/main" id="{00000000-0008-0000-0500-0000C5401200}"/>
            </a:ext>
          </a:extLst>
        </xdr:cNvPr>
        <xdr:cNvSpPr>
          <a:spLocks noChangeShapeType="1"/>
        </xdr:cNvSpPr>
      </xdr:nvSpPr>
      <xdr:spPr bwMode="auto">
        <a:xfrm>
          <a:off x="5686425" y="1314450"/>
          <a:ext cx="0" cy="876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733425</xdr:colOff>
      <xdr:row>11</xdr:row>
      <xdr:rowOff>85725</xdr:rowOff>
    </xdr:from>
    <xdr:to>
      <xdr:col>3</xdr:col>
      <xdr:colOff>885825</xdr:colOff>
      <xdr:row>13</xdr:row>
      <xdr:rowOff>9525</xdr:rowOff>
    </xdr:to>
    <xdr:sp macro="" textlink="">
      <xdr:nvSpPr>
        <xdr:cNvPr id="1196230" name="Line 7">
          <a:extLst>
            <a:ext uri="{FF2B5EF4-FFF2-40B4-BE49-F238E27FC236}">
              <a16:creationId xmlns:a16="http://schemas.microsoft.com/office/drawing/2014/main" id="{00000000-0008-0000-0500-0000C6401200}"/>
            </a:ext>
          </a:extLst>
        </xdr:cNvPr>
        <xdr:cNvSpPr>
          <a:spLocks noChangeShapeType="1"/>
        </xdr:cNvSpPr>
      </xdr:nvSpPr>
      <xdr:spPr bwMode="auto">
        <a:xfrm flipV="1">
          <a:off x="523875" y="1809750"/>
          <a:ext cx="2628900"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9</xdr:row>
      <xdr:rowOff>66675</xdr:rowOff>
    </xdr:from>
    <xdr:to>
      <xdr:col>7</xdr:col>
      <xdr:colOff>9525</xdr:colOff>
      <xdr:row>11</xdr:row>
      <xdr:rowOff>76200</xdr:rowOff>
    </xdr:to>
    <xdr:sp macro="" textlink="">
      <xdr:nvSpPr>
        <xdr:cNvPr id="1196231" name="Line 8">
          <a:extLst>
            <a:ext uri="{FF2B5EF4-FFF2-40B4-BE49-F238E27FC236}">
              <a16:creationId xmlns:a16="http://schemas.microsoft.com/office/drawing/2014/main" id="{00000000-0008-0000-0500-0000C7401200}"/>
            </a:ext>
          </a:extLst>
        </xdr:cNvPr>
        <xdr:cNvSpPr>
          <a:spLocks noChangeShapeType="1"/>
        </xdr:cNvSpPr>
      </xdr:nvSpPr>
      <xdr:spPr bwMode="auto">
        <a:xfrm flipV="1">
          <a:off x="3152775" y="1466850"/>
          <a:ext cx="1857375" cy="333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8</xdr:row>
      <xdr:rowOff>95250</xdr:rowOff>
    </xdr:from>
    <xdr:to>
      <xdr:col>8</xdr:col>
      <xdr:colOff>9525</xdr:colOff>
      <xdr:row>10</xdr:row>
      <xdr:rowOff>0</xdr:rowOff>
    </xdr:to>
    <xdr:sp macro="" textlink="">
      <xdr:nvSpPr>
        <xdr:cNvPr id="1196232" name="Line 9">
          <a:extLst>
            <a:ext uri="{FF2B5EF4-FFF2-40B4-BE49-F238E27FC236}">
              <a16:creationId xmlns:a16="http://schemas.microsoft.com/office/drawing/2014/main" id="{00000000-0008-0000-0500-0000C8401200}"/>
            </a:ext>
          </a:extLst>
        </xdr:cNvPr>
        <xdr:cNvSpPr>
          <a:spLocks noChangeShapeType="1"/>
        </xdr:cNvSpPr>
      </xdr:nvSpPr>
      <xdr:spPr bwMode="auto">
        <a:xfrm flipV="1">
          <a:off x="5010150" y="1333500"/>
          <a:ext cx="68580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xdr:colOff>
      <xdr:row>13</xdr:row>
      <xdr:rowOff>142875</xdr:rowOff>
    </xdr:from>
    <xdr:to>
      <xdr:col>9</xdr:col>
      <xdr:colOff>17145</xdr:colOff>
      <xdr:row>13</xdr:row>
      <xdr:rowOff>152400</xdr:rowOff>
    </xdr:to>
    <xdr:sp macro="" textlink="">
      <xdr:nvSpPr>
        <xdr:cNvPr id="1196233" name="Line 10">
          <a:extLst>
            <a:ext uri="{FF2B5EF4-FFF2-40B4-BE49-F238E27FC236}">
              <a16:creationId xmlns:a16="http://schemas.microsoft.com/office/drawing/2014/main" id="{00000000-0008-0000-0500-0000C9401200}"/>
            </a:ext>
          </a:extLst>
        </xdr:cNvPr>
        <xdr:cNvSpPr>
          <a:spLocks noChangeShapeType="1"/>
        </xdr:cNvSpPr>
      </xdr:nvSpPr>
      <xdr:spPr bwMode="auto">
        <a:xfrm flipH="1" flipV="1">
          <a:off x="320040" y="2406015"/>
          <a:ext cx="585406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r>
            <a:rPr lang="pl-PL"/>
            <a:t>00</a:t>
          </a:r>
        </a:p>
      </xdr:txBody>
    </xdr:sp>
    <xdr:clientData/>
  </xdr:twoCellAnchor>
  <xdr:twoCellAnchor>
    <xdr:from>
      <xdr:col>2</xdr:col>
      <xdr:colOff>123825</xdr:colOff>
      <xdr:row>1</xdr:row>
      <xdr:rowOff>76200</xdr:rowOff>
    </xdr:from>
    <xdr:to>
      <xdr:col>7</xdr:col>
      <xdr:colOff>485775</xdr:colOff>
      <xdr:row>5</xdr:row>
      <xdr:rowOff>19050</xdr:rowOff>
    </xdr:to>
    <xdr:sp macro="" textlink="">
      <xdr:nvSpPr>
        <xdr:cNvPr id="23563" name="WordArt 11">
          <a:extLst>
            <a:ext uri="{FF2B5EF4-FFF2-40B4-BE49-F238E27FC236}">
              <a16:creationId xmlns:a16="http://schemas.microsoft.com/office/drawing/2014/main" id="{00000000-0008-0000-0500-00000B5C0000}"/>
            </a:ext>
          </a:extLst>
        </xdr:cNvPr>
        <xdr:cNvSpPr>
          <a:spLocks noChangeArrowheads="1" noChangeShapeType="1" noTextEdit="1"/>
        </xdr:cNvSpPr>
      </xdr:nvSpPr>
      <xdr:spPr bwMode="auto">
        <a:xfrm>
          <a:off x="1333500" y="228600"/>
          <a:ext cx="3581400" cy="552450"/>
        </a:xfrm>
        <a:prstGeom prst="rect">
          <a:avLst/>
        </a:prstGeom>
      </xdr:spPr>
      <xdr:txBody>
        <a:bodyPr wrap="none" fromWordArt="1">
          <a:prstTxWarp prst="textPlain">
            <a:avLst>
              <a:gd name="adj" fmla="val 50000"/>
            </a:avLst>
          </a:prstTxWarp>
        </a:bodyPr>
        <a:lstStyle/>
        <a:p>
          <a:pPr algn="ctr" rtl="0"/>
          <a:r>
            <a:rPr lang="en-US" sz="9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Wing Dihedral</a:t>
          </a:r>
        </a:p>
      </xdr:txBody>
    </xdr:sp>
    <xdr:clientData/>
  </xdr:twoCellAnchor>
  <xdr:twoCellAnchor>
    <xdr:from>
      <xdr:col>1</xdr:col>
      <xdr:colOff>38100</xdr:colOff>
      <xdr:row>16</xdr:row>
      <xdr:rowOff>114300</xdr:rowOff>
    </xdr:from>
    <xdr:to>
      <xdr:col>9</xdr:col>
      <xdr:colOff>114300</xdr:colOff>
      <xdr:row>34</xdr:row>
      <xdr:rowOff>19050</xdr:rowOff>
    </xdr:to>
    <xdr:graphicFrame macro="">
      <xdr:nvGraphicFramePr>
        <xdr:cNvPr id="1196235" name="Chart 12">
          <a:extLst>
            <a:ext uri="{FF2B5EF4-FFF2-40B4-BE49-F238E27FC236}">
              <a16:creationId xmlns:a16="http://schemas.microsoft.com/office/drawing/2014/main" id="{00000000-0008-0000-0500-0000CB40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514350</xdr:colOff>
      <xdr:row>13</xdr:row>
      <xdr:rowOff>0</xdr:rowOff>
    </xdr:from>
    <xdr:to>
      <xdr:col>0</xdr:col>
      <xdr:colOff>514350</xdr:colOff>
      <xdr:row>13</xdr:row>
      <xdr:rowOff>142875</xdr:rowOff>
    </xdr:to>
    <xdr:sp macro="" textlink="">
      <xdr:nvSpPr>
        <xdr:cNvPr id="1196236" name="Line 13">
          <a:extLst>
            <a:ext uri="{FF2B5EF4-FFF2-40B4-BE49-F238E27FC236}">
              <a16:creationId xmlns:a16="http://schemas.microsoft.com/office/drawing/2014/main" id="{00000000-0008-0000-0500-0000CC401200}"/>
            </a:ext>
          </a:extLst>
        </xdr:cNvPr>
        <xdr:cNvSpPr>
          <a:spLocks noChangeShapeType="1"/>
        </xdr:cNvSpPr>
      </xdr:nvSpPr>
      <xdr:spPr bwMode="auto">
        <a:xfrm>
          <a:off x="514350" y="2047875"/>
          <a:ext cx="0" cy="142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5</xdr:row>
      <xdr:rowOff>95250</xdr:rowOff>
    </xdr:from>
    <xdr:to>
      <xdr:col>8</xdr:col>
      <xdr:colOff>666750</xdr:colOff>
      <xdr:row>8</xdr:row>
      <xdr:rowOff>85725</xdr:rowOff>
    </xdr:to>
    <xdr:sp macro="" textlink="">
      <xdr:nvSpPr>
        <xdr:cNvPr id="1196237" name="Line 14">
          <a:extLst>
            <a:ext uri="{FF2B5EF4-FFF2-40B4-BE49-F238E27FC236}">
              <a16:creationId xmlns:a16="http://schemas.microsoft.com/office/drawing/2014/main" id="{00000000-0008-0000-0500-0000CD401200}"/>
            </a:ext>
          </a:extLst>
        </xdr:cNvPr>
        <xdr:cNvSpPr>
          <a:spLocks noChangeShapeType="1"/>
        </xdr:cNvSpPr>
      </xdr:nvSpPr>
      <xdr:spPr bwMode="auto">
        <a:xfrm flipV="1">
          <a:off x="5695950" y="857250"/>
          <a:ext cx="657225"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5</xdr:row>
      <xdr:rowOff>85725</xdr:rowOff>
    </xdr:from>
    <xdr:to>
      <xdr:col>8</xdr:col>
      <xdr:colOff>666750</xdr:colOff>
      <xdr:row>7</xdr:row>
      <xdr:rowOff>152400</xdr:rowOff>
    </xdr:to>
    <xdr:sp macro="" textlink="">
      <xdr:nvSpPr>
        <xdr:cNvPr id="1196238" name="Line 15">
          <a:extLst>
            <a:ext uri="{FF2B5EF4-FFF2-40B4-BE49-F238E27FC236}">
              <a16:creationId xmlns:a16="http://schemas.microsoft.com/office/drawing/2014/main" id="{00000000-0008-0000-0500-0000CE401200}"/>
            </a:ext>
          </a:extLst>
        </xdr:cNvPr>
        <xdr:cNvSpPr>
          <a:spLocks noChangeShapeType="1"/>
        </xdr:cNvSpPr>
      </xdr:nvSpPr>
      <xdr:spPr bwMode="auto">
        <a:xfrm flipV="1">
          <a:off x="5695950" y="847725"/>
          <a:ext cx="657225"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676275</xdr:colOff>
      <xdr:row>5</xdr:row>
      <xdr:rowOff>95250</xdr:rowOff>
    </xdr:from>
    <xdr:to>
      <xdr:col>8</xdr:col>
      <xdr:colOff>676275</xdr:colOff>
      <xdr:row>13</xdr:row>
      <xdr:rowOff>133350</xdr:rowOff>
    </xdr:to>
    <xdr:sp macro="" textlink="">
      <xdr:nvSpPr>
        <xdr:cNvPr id="1196239" name="Line 16">
          <a:extLst>
            <a:ext uri="{FF2B5EF4-FFF2-40B4-BE49-F238E27FC236}">
              <a16:creationId xmlns:a16="http://schemas.microsoft.com/office/drawing/2014/main" id="{00000000-0008-0000-0500-0000CF401200}"/>
            </a:ext>
          </a:extLst>
        </xdr:cNvPr>
        <xdr:cNvSpPr>
          <a:spLocks noChangeShapeType="1"/>
        </xdr:cNvSpPr>
      </xdr:nvSpPr>
      <xdr:spPr bwMode="auto">
        <a:xfrm>
          <a:off x="6362700" y="857250"/>
          <a:ext cx="0" cy="13239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952500</xdr:colOff>
      <xdr:row>0</xdr:row>
      <xdr:rowOff>95251</xdr:rowOff>
    </xdr:from>
    <xdr:to>
      <xdr:col>5</xdr:col>
      <xdr:colOff>1492417</xdr:colOff>
      <xdr:row>2</xdr:row>
      <xdr:rowOff>196517</xdr:rowOff>
    </xdr:to>
    <xdr:sp macro="" textlink="">
      <xdr:nvSpPr>
        <xdr:cNvPr id="11268" name="WordArt 4">
          <a:extLst>
            <a:ext uri="{FF2B5EF4-FFF2-40B4-BE49-F238E27FC236}">
              <a16:creationId xmlns:a16="http://schemas.microsoft.com/office/drawing/2014/main" id="{00000000-0008-0000-0600-0000042C0000}"/>
            </a:ext>
          </a:extLst>
        </xdr:cNvPr>
        <xdr:cNvSpPr>
          <a:spLocks noChangeArrowheads="1" noChangeShapeType="1" noTextEdit="1"/>
        </xdr:cNvSpPr>
      </xdr:nvSpPr>
      <xdr:spPr bwMode="auto">
        <a:xfrm>
          <a:off x="1193132" y="95251"/>
          <a:ext cx="7026943" cy="552450"/>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Tail Sizing Checks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1314450</xdr:colOff>
      <xdr:row>1</xdr:row>
      <xdr:rowOff>9525</xdr:rowOff>
    </xdr:from>
    <xdr:to>
      <xdr:col>3</xdr:col>
      <xdr:colOff>533400</xdr:colOff>
      <xdr:row>3</xdr:row>
      <xdr:rowOff>123825</xdr:rowOff>
    </xdr:to>
    <xdr:sp macro="" textlink="">
      <xdr:nvSpPr>
        <xdr:cNvPr id="25601" name="WordArt 1">
          <a:extLst>
            <a:ext uri="{FF2B5EF4-FFF2-40B4-BE49-F238E27FC236}">
              <a16:creationId xmlns:a16="http://schemas.microsoft.com/office/drawing/2014/main" id="{00000000-0008-0000-0700-000001640000}"/>
            </a:ext>
          </a:extLst>
        </xdr:cNvPr>
        <xdr:cNvSpPr>
          <a:spLocks noChangeArrowheads="1" noChangeShapeType="1" noTextEdit="1"/>
        </xdr:cNvSpPr>
      </xdr:nvSpPr>
      <xdr:spPr bwMode="auto">
        <a:xfrm>
          <a:off x="1571625" y="171450"/>
          <a:ext cx="3143250" cy="438150"/>
        </a:xfrm>
        <a:prstGeom prst="rect">
          <a:avLst/>
        </a:prstGeom>
      </xdr:spPr>
      <xdr:txBody>
        <a:bodyPr wrap="none" fromWordArt="1">
          <a:prstTxWarp prst="textPlain">
            <a:avLst>
              <a:gd name="adj" fmla="val 50000"/>
            </a:avLst>
          </a:prstTxWarp>
        </a:bodyPr>
        <a:lstStyle/>
        <a:p>
          <a:pPr algn="ctr" rtl="0"/>
          <a:r>
            <a:rPr lang="en-US" sz="9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Results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1647825</xdr:colOff>
      <xdr:row>0</xdr:row>
      <xdr:rowOff>95250</xdr:rowOff>
    </xdr:from>
    <xdr:to>
      <xdr:col>0</xdr:col>
      <xdr:colOff>4276725</xdr:colOff>
      <xdr:row>4</xdr:row>
      <xdr:rowOff>104775</xdr:rowOff>
    </xdr:to>
    <xdr:sp macro="" textlink="">
      <xdr:nvSpPr>
        <xdr:cNvPr id="22529" name="WordArt 1">
          <a:extLst>
            <a:ext uri="{FF2B5EF4-FFF2-40B4-BE49-F238E27FC236}">
              <a16:creationId xmlns:a16="http://schemas.microsoft.com/office/drawing/2014/main" id="{00000000-0008-0000-0800-000001580000}"/>
            </a:ext>
          </a:extLst>
        </xdr:cNvPr>
        <xdr:cNvSpPr>
          <a:spLocks noChangeArrowheads="1" noChangeShapeType="1" noTextEdit="1"/>
        </xdr:cNvSpPr>
      </xdr:nvSpPr>
      <xdr:spPr bwMode="auto">
        <a:xfrm>
          <a:off x="1647825" y="95250"/>
          <a:ext cx="2628900" cy="657225"/>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Glossary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glide.net.au/flyingwing/herks.htm" TargetMode="External"/><Relationship Id="rId2" Type="http://schemas.openxmlformats.org/officeDocument/2006/relationships/hyperlink" Target="http://www.ae.uiuc.edu/m-selig/" TargetMode="External"/><Relationship Id="rId1" Type="http://schemas.openxmlformats.org/officeDocument/2006/relationships/hyperlink" Target="http://www.soartech-aero.com/"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http://xflr5.sourceforge.net/xflr5.ht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B52"/>
  <sheetViews>
    <sheetView showGridLines="0" topLeftCell="A35" zoomScale="90" zoomScaleNormal="90" workbookViewId="0">
      <selection activeCell="E52" sqref="E52"/>
    </sheetView>
  </sheetViews>
  <sheetFormatPr defaultColWidth="103.375" defaultRowHeight="12.75" x14ac:dyDescent="0.2"/>
  <cols>
    <col min="1" max="1" width="96.75" style="44" customWidth="1"/>
    <col min="2" max="2" width="88.25" style="210" customWidth="1"/>
    <col min="3" max="3" width="11.5" style="44" customWidth="1"/>
    <col min="4" max="4" width="13.375" style="44" customWidth="1"/>
    <col min="5" max="5" width="13" style="44" customWidth="1"/>
    <col min="6" max="6" width="15.375" style="44" customWidth="1"/>
    <col min="7" max="7" width="12" style="44" customWidth="1"/>
    <col min="8" max="16384" width="103.375" style="44"/>
  </cols>
  <sheetData>
    <row r="4" spans="1:2" ht="19.5" x14ac:dyDescent="0.2">
      <c r="A4" s="52" t="s">
        <v>130</v>
      </c>
    </row>
    <row r="5" spans="1:2" ht="19.5" x14ac:dyDescent="0.2">
      <c r="A5" s="52"/>
    </row>
    <row r="6" spans="1:2" ht="19.5" x14ac:dyDescent="0.2">
      <c r="A6" s="52"/>
    </row>
    <row r="8" spans="1:2" x14ac:dyDescent="0.25">
      <c r="A8" s="82" t="s">
        <v>61</v>
      </c>
      <c r="B8" s="211" t="s">
        <v>213</v>
      </c>
    </row>
    <row r="9" spans="1:2" ht="25.5" x14ac:dyDescent="0.2">
      <c r="A9" s="53" t="s">
        <v>141</v>
      </c>
      <c r="B9" s="212" t="s">
        <v>214</v>
      </c>
    </row>
    <row r="10" spans="1:2" ht="76.5" x14ac:dyDescent="0.2">
      <c r="A10" s="110" t="s">
        <v>140</v>
      </c>
      <c r="B10" s="210" t="s">
        <v>215</v>
      </c>
    </row>
    <row r="11" spans="1:2" x14ac:dyDescent="0.25">
      <c r="B11" s="46"/>
    </row>
    <row r="12" spans="1:2" x14ac:dyDescent="0.2">
      <c r="A12" s="82" t="s">
        <v>47</v>
      </c>
      <c r="B12" s="213" t="s">
        <v>216</v>
      </c>
    </row>
    <row r="13" spans="1:2" x14ac:dyDescent="0.2">
      <c r="A13" s="111" t="s">
        <v>53</v>
      </c>
      <c r="B13" s="210" t="s">
        <v>217</v>
      </c>
    </row>
    <row r="14" spans="1:2" x14ac:dyDescent="0.2">
      <c r="A14" s="170" t="s">
        <v>179</v>
      </c>
      <c r="B14" s="210" t="s">
        <v>218</v>
      </c>
    </row>
    <row r="15" spans="1:2" x14ac:dyDescent="0.2">
      <c r="A15" s="111" t="s">
        <v>46</v>
      </c>
      <c r="B15" s="210" t="s">
        <v>219</v>
      </c>
    </row>
    <row r="16" spans="1:2" ht="25.5" x14ac:dyDescent="0.2">
      <c r="A16" s="170" t="s">
        <v>163</v>
      </c>
      <c r="B16" s="210" t="s">
        <v>220</v>
      </c>
    </row>
    <row r="17" spans="1:2" x14ac:dyDescent="0.25">
      <c r="B17" s="46"/>
    </row>
    <row r="18" spans="1:2" x14ac:dyDescent="0.2">
      <c r="A18" s="82" t="s">
        <v>41</v>
      </c>
      <c r="B18" s="212" t="s">
        <v>221</v>
      </c>
    </row>
    <row r="19" spans="1:2" ht="51" x14ac:dyDescent="0.2">
      <c r="A19" s="44" t="s">
        <v>100</v>
      </c>
      <c r="B19" s="210" t="s">
        <v>222</v>
      </c>
    </row>
    <row r="20" spans="1:2" ht="38.25" x14ac:dyDescent="0.2">
      <c r="A20" s="44" t="s">
        <v>54</v>
      </c>
      <c r="B20" s="210" t="s">
        <v>223</v>
      </c>
    </row>
    <row r="21" spans="1:2" ht="63.75" x14ac:dyDescent="0.2">
      <c r="A21" s="44" t="s">
        <v>111</v>
      </c>
      <c r="B21" s="210" t="s">
        <v>224</v>
      </c>
    </row>
    <row r="23" spans="1:2" x14ac:dyDescent="0.2">
      <c r="A23" s="82" t="s">
        <v>40</v>
      </c>
      <c r="B23" s="212" t="s">
        <v>225</v>
      </c>
    </row>
    <row r="24" spans="1:2" ht="38.25" x14ac:dyDescent="0.2">
      <c r="A24" s="46" t="s">
        <v>112</v>
      </c>
      <c r="B24" s="210" t="s">
        <v>226</v>
      </c>
    </row>
    <row r="25" spans="1:2" ht="25.5" x14ac:dyDescent="0.2">
      <c r="A25" s="44" t="s">
        <v>69</v>
      </c>
      <c r="B25" s="210" t="s">
        <v>227</v>
      </c>
    </row>
    <row r="27" spans="1:2" x14ac:dyDescent="0.2">
      <c r="A27" s="82" t="s">
        <v>106</v>
      </c>
      <c r="B27" s="212" t="s">
        <v>228</v>
      </c>
    </row>
    <row r="28" spans="1:2" ht="25.5" x14ac:dyDescent="0.2">
      <c r="A28" s="44" t="s">
        <v>113</v>
      </c>
      <c r="B28" s="210" t="s">
        <v>229</v>
      </c>
    </row>
    <row r="30" spans="1:2" x14ac:dyDescent="0.2">
      <c r="A30" s="82" t="s">
        <v>104</v>
      </c>
      <c r="B30" s="212" t="s">
        <v>230</v>
      </c>
    </row>
    <row r="31" spans="1:2" ht="25.5" x14ac:dyDescent="0.2">
      <c r="A31" s="44" t="s">
        <v>113</v>
      </c>
      <c r="B31" s="210" t="s">
        <v>229</v>
      </c>
    </row>
    <row r="32" spans="1:2" ht="25.5" x14ac:dyDescent="0.2">
      <c r="A32" s="44" t="s">
        <v>114</v>
      </c>
      <c r="B32" s="210" t="s">
        <v>231</v>
      </c>
    </row>
    <row r="34" spans="1:2" x14ac:dyDescent="0.2">
      <c r="A34" s="82" t="s">
        <v>105</v>
      </c>
      <c r="B34" s="210" t="s">
        <v>232</v>
      </c>
    </row>
    <row r="35" spans="1:2" ht="57" x14ac:dyDescent="0.25">
      <c r="A35" s="44" t="s">
        <v>110</v>
      </c>
      <c r="B35" s="214" t="s">
        <v>233</v>
      </c>
    </row>
    <row r="36" spans="1:2" ht="28.5" x14ac:dyDescent="0.25">
      <c r="A36" s="46" t="s">
        <v>145</v>
      </c>
      <c r="B36" s="214" t="s">
        <v>234</v>
      </c>
    </row>
    <row r="38" spans="1:2" x14ac:dyDescent="0.2">
      <c r="A38" s="82" t="s">
        <v>101</v>
      </c>
      <c r="B38" s="210" t="s">
        <v>236</v>
      </c>
    </row>
    <row r="39" spans="1:2" ht="28.5" x14ac:dyDescent="0.25">
      <c r="A39" s="46" t="s">
        <v>146</v>
      </c>
      <c r="B39" s="214" t="s">
        <v>235</v>
      </c>
    </row>
    <row r="41" spans="1:2" x14ac:dyDescent="0.2">
      <c r="A41" s="82" t="s">
        <v>97</v>
      </c>
      <c r="B41" s="212" t="s">
        <v>237</v>
      </c>
    </row>
    <row r="42" spans="1:2" ht="42.75" x14ac:dyDescent="0.25">
      <c r="A42" s="44" t="s">
        <v>45</v>
      </c>
      <c r="B42" s="214" t="s">
        <v>238</v>
      </c>
    </row>
    <row r="44" spans="1:2" x14ac:dyDescent="0.2">
      <c r="A44" s="53" t="s">
        <v>117</v>
      </c>
      <c r="B44" s="212" t="s">
        <v>239</v>
      </c>
    </row>
    <row r="45" spans="1:2" ht="14.25" x14ac:dyDescent="0.25">
      <c r="A45" s="44" t="s">
        <v>118</v>
      </c>
      <c r="B45" s="215" t="s">
        <v>240</v>
      </c>
    </row>
    <row r="47" spans="1:2" x14ac:dyDescent="0.2">
      <c r="A47" s="82" t="s">
        <v>115</v>
      </c>
      <c r="B47" s="210" t="s">
        <v>241</v>
      </c>
    </row>
    <row r="48" spans="1:2" x14ac:dyDescent="0.2">
      <c r="A48" s="82"/>
    </row>
    <row r="49" spans="1:2" x14ac:dyDescent="0.2">
      <c r="A49" s="82" t="s">
        <v>98</v>
      </c>
      <c r="B49" s="210" t="s">
        <v>242</v>
      </c>
    </row>
    <row r="50" spans="1:2" ht="14.25" x14ac:dyDescent="0.25">
      <c r="A50" s="44" t="s">
        <v>109</v>
      </c>
      <c r="B50" s="215" t="s">
        <v>243</v>
      </c>
    </row>
    <row r="52" spans="1:2" x14ac:dyDescent="0.2">
      <c r="A52" s="164" t="s">
        <v>180</v>
      </c>
      <c r="B52" s="210" t="s">
        <v>244</v>
      </c>
    </row>
  </sheetData>
  <phoneticPr fontId="0" type="noConversion"/>
  <printOptions horizontalCentered="1"/>
  <pageMargins left="0.44" right="0.43" top="0.33" bottom="0.33" header="0.22" footer="0.21"/>
  <pageSetup scale="75"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32"/>
  <sheetViews>
    <sheetView showGridLines="0" topLeftCell="A19" zoomScaleNormal="100" workbookViewId="0">
      <selection activeCell="B27" sqref="B27"/>
    </sheetView>
  </sheetViews>
  <sheetFormatPr defaultColWidth="82.25" defaultRowHeight="12.75" x14ac:dyDescent="0.25"/>
  <cols>
    <col min="1" max="1" width="91.875" style="44" customWidth="1"/>
    <col min="2" max="2" width="68.875" style="44" customWidth="1"/>
    <col min="3" max="3" width="13.375" style="44" customWidth="1"/>
    <col min="4" max="4" width="20.25" style="44" customWidth="1"/>
    <col min="5" max="5" width="14.75" style="44" customWidth="1"/>
    <col min="6" max="6" width="16.5" style="44" customWidth="1"/>
    <col min="7" max="7" width="14.75" style="44" customWidth="1"/>
    <col min="8" max="16384" width="82.25" style="44"/>
  </cols>
  <sheetData>
    <row r="2" spans="1:2" ht="19.5" x14ac:dyDescent="0.25">
      <c r="A2" s="52"/>
    </row>
    <row r="9" spans="1:2" x14ac:dyDescent="0.25">
      <c r="A9" s="53" t="s">
        <v>37</v>
      </c>
    </row>
    <row r="10" spans="1:2" ht="42.75" x14ac:dyDescent="0.25">
      <c r="A10" s="44" t="s">
        <v>42</v>
      </c>
      <c r="B10" s="214" t="s">
        <v>272</v>
      </c>
    </row>
    <row r="12" spans="1:2" x14ac:dyDescent="0.25">
      <c r="A12" s="53" t="s">
        <v>38</v>
      </c>
    </row>
    <row r="13" spans="1:2" ht="57" x14ac:dyDescent="0.25">
      <c r="A13" s="44" t="s">
        <v>43</v>
      </c>
      <c r="B13" s="214" t="s">
        <v>273</v>
      </c>
    </row>
    <row r="15" spans="1:2" x14ac:dyDescent="0.25">
      <c r="A15" s="53" t="s">
        <v>39</v>
      </c>
    </row>
    <row r="16" spans="1:2" ht="57" x14ac:dyDescent="0.25">
      <c r="A16" s="44" t="s">
        <v>44</v>
      </c>
      <c r="B16" s="214" t="s">
        <v>274</v>
      </c>
    </row>
    <row r="18" spans="1:2" x14ac:dyDescent="0.25">
      <c r="A18" s="53" t="s">
        <v>48</v>
      </c>
    </row>
    <row r="19" spans="1:2" ht="28.5" x14ac:dyDescent="0.25">
      <c r="A19" s="44" t="s">
        <v>95</v>
      </c>
      <c r="B19" s="223" t="s">
        <v>275</v>
      </c>
    </row>
    <row r="21" spans="1:2" s="46" customFormat="1" x14ac:dyDescent="0.25">
      <c r="A21" s="53" t="s">
        <v>177</v>
      </c>
    </row>
    <row r="22" spans="1:2" s="46" customFormat="1" ht="14.25" x14ac:dyDescent="0.25">
      <c r="A22" s="46" t="s">
        <v>178</v>
      </c>
      <c r="B22" s="218" t="s">
        <v>276</v>
      </c>
    </row>
    <row r="23" spans="1:2" s="46" customFormat="1" x14ac:dyDescent="0.25"/>
    <row r="24" spans="1:2" x14ac:dyDescent="0.25">
      <c r="A24" s="53" t="s">
        <v>70</v>
      </c>
    </row>
    <row r="25" spans="1:2" ht="57" x14ac:dyDescent="0.25">
      <c r="A25" s="46" t="s">
        <v>149</v>
      </c>
      <c r="B25" s="214" t="s">
        <v>277</v>
      </c>
    </row>
    <row r="27" spans="1:2" s="46" customFormat="1" x14ac:dyDescent="0.25">
      <c r="A27" s="53" t="s">
        <v>71</v>
      </c>
      <c r="B27" s="46" t="s">
        <v>281</v>
      </c>
    </row>
    <row r="28" spans="1:2" s="46" customFormat="1" ht="99.75" x14ac:dyDescent="0.25">
      <c r="A28" s="46" t="s">
        <v>150</v>
      </c>
      <c r="B28" s="214" t="s">
        <v>278</v>
      </c>
    </row>
    <row r="29" spans="1:2" s="46" customFormat="1" x14ac:dyDescent="0.25"/>
    <row r="30" spans="1:2" s="46" customFormat="1" ht="14.25" x14ac:dyDescent="0.25">
      <c r="A30" s="46" t="s">
        <v>99</v>
      </c>
      <c r="B30" s="215" t="s">
        <v>279</v>
      </c>
    </row>
    <row r="31" spans="1:2" s="46" customFormat="1" x14ac:dyDescent="0.25"/>
    <row r="32" spans="1:2" s="46" customFormat="1" ht="14.25" x14ac:dyDescent="0.25">
      <c r="A32" s="46" t="s">
        <v>72</v>
      </c>
      <c r="B32" s="218" t="s">
        <v>280</v>
      </c>
    </row>
  </sheetData>
  <phoneticPr fontId="0" type="noConversion"/>
  <pageMargins left="0.75" right="0.75" top="1" bottom="1" header="0.5" footer="0.5"/>
  <pageSetup orientation="portrait" horizontalDpi="4294967294" verticalDpi="4294967294"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5:N39"/>
  <sheetViews>
    <sheetView showGridLines="0" topLeftCell="A24" zoomScaleNormal="100" workbookViewId="0"/>
  </sheetViews>
  <sheetFormatPr defaultRowHeight="13.5" x14ac:dyDescent="0.25"/>
  <cols>
    <col min="1" max="1" width="3.5" customWidth="1"/>
    <col min="7" max="7" width="9.125" customWidth="1"/>
    <col min="14" max="14" width="11.875" customWidth="1"/>
  </cols>
  <sheetData>
    <row r="5" spans="1:14" ht="14.25" thickBot="1" x14ac:dyDescent="0.3">
      <c r="A5" s="165"/>
      <c r="B5" s="165"/>
      <c r="C5" s="165"/>
      <c r="D5" s="165"/>
      <c r="E5" s="165"/>
      <c r="F5" s="165"/>
      <c r="G5" s="165"/>
      <c r="H5" s="165"/>
      <c r="I5" s="165"/>
      <c r="J5" s="165"/>
      <c r="K5" s="165"/>
      <c r="L5" s="165"/>
      <c r="M5" s="165"/>
      <c r="N5" s="165"/>
    </row>
    <row r="6" spans="1:14" ht="14.25" thickTop="1" x14ac:dyDescent="0.25"/>
    <row r="26" spans="2:7" ht="20.25" x14ac:dyDescent="0.35">
      <c r="B26" s="278" t="s">
        <v>158</v>
      </c>
      <c r="C26" s="278"/>
      <c r="D26" s="278"/>
      <c r="E26" s="278"/>
      <c r="F26" s="279"/>
    </row>
    <row r="29" spans="2:7" ht="20.25" x14ac:dyDescent="0.35">
      <c r="B29" s="278" t="s">
        <v>159</v>
      </c>
      <c r="C29" s="278"/>
      <c r="D29" s="278"/>
      <c r="E29" s="278"/>
      <c r="F29" s="278"/>
      <c r="G29" s="278"/>
    </row>
    <row r="32" spans="2:7" ht="20.25" x14ac:dyDescent="0.35">
      <c r="B32" s="278" t="s">
        <v>157</v>
      </c>
      <c r="C32" s="278"/>
      <c r="D32" s="278"/>
      <c r="E32" s="278"/>
      <c r="F32" s="278"/>
      <c r="G32" s="278"/>
    </row>
    <row r="33" spans="2:9" x14ac:dyDescent="0.25">
      <c r="B33" s="167"/>
    </row>
    <row r="34" spans="2:9" x14ac:dyDescent="0.25">
      <c r="B34" s="167"/>
      <c r="I34" s="166"/>
    </row>
    <row r="35" spans="2:9" x14ac:dyDescent="0.25">
      <c r="B35" s="167"/>
    </row>
    <row r="36" spans="2:9" ht="32.25" x14ac:dyDescent="0.55000000000000004">
      <c r="B36" s="167"/>
      <c r="H36" s="169"/>
    </row>
    <row r="37" spans="2:9" x14ac:dyDescent="0.25">
      <c r="B37" s="167"/>
    </row>
    <row r="38" spans="2:9" ht="20.25" x14ac:dyDescent="0.35">
      <c r="B38" s="168" t="s">
        <v>162</v>
      </c>
      <c r="C38" s="168"/>
      <c r="D38" s="168"/>
      <c r="E38" s="168"/>
      <c r="F38" s="168"/>
      <c r="G38" s="168"/>
    </row>
    <row r="39" spans="2:9" ht="20.25" x14ac:dyDescent="0.35">
      <c r="H39" s="168"/>
    </row>
  </sheetData>
  <mergeCells count="3">
    <mergeCell ref="B26:F26"/>
    <mergeCell ref="B29:G29"/>
    <mergeCell ref="B32:G32"/>
  </mergeCells>
  <phoneticPr fontId="61" type="noConversion"/>
  <hyperlinks>
    <hyperlink ref="B26:E26" r:id="rId1" display="SoarTech Aero Publications" xr:uid="{00000000-0004-0000-0A00-000000000000}"/>
    <hyperlink ref="B29:G29" r:id="rId2" display="UIUC Applied Aerodynamics Group" xr:uid="{00000000-0004-0000-0A00-000001000000}"/>
    <hyperlink ref="B32:G32" r:id="rId3" display="HERK STOKELY'S HANDLAUNCH FLYING WING" xr:uid="{00000000-0004-0000-0A00-000002000000}"/>
    <hyperlink ref="B39:H39" r:id="rId4" display="XFLR5 Airfoil and Wing Analysis Tool " xr:uid="{00000000-0004-0000-0A00-000003000000}"/>
  </hyperlinks>
  <pageMargins left="0.5" right="0.5" top="0.33" bottom="0.33" header="0.25" footer="0.31"/>
  <pageSetup orientation="landscape" horizontalDpi="4294967293" verticalDpi="4294967293" r:id="rId5"/>
  <headerFooter alignWithMargins="0"/>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8" transitionEvaluation="1"/>
  <dimension ref="A3:X103"/>
  <sheetViews>
    <sheetView showGridLines="0" topLeftCell="A18" zoomScaleNormal="100" zoomScalePageLayoutView="90" workbookViewId="0">
      <selection activeCell="C47" sqref="C47"/>
    </sheetView>
  </sheetViews>
  <sheetFormatPr defaultColWidth="10.625" defaultRowHeight="12.75" x14ac:dyDescent="0.25"/>
  <cols>
    <col min="1" max="1" width="6.875" style="68" customWidth="1"/>
    <col min="2" max="2" width="20.125" style="68" customWidth="1"/>
    <col min="3" max="3" width="9.875" style="68" customWidth="1"/>
    <col min="4" max="4" width="13.25" style="68" customWidth="1"/>
    <col min="5" max="5" width="10.625" style="68" customWidth="1"/>
    <col min="6" max="6" width="9" style="68" customWidth="1"/>
    <col min="7" max="7" width="12.375" style="68" customWidth="1"/>
    <col min="8" max="8" width="12" style="68" customWidth="1"/>
    <col min="9" max="9" width="15.625" style="68" customWidth="1"/>
    <col min="10" max="10" width="12.625" style="68" customWidth="1"/>
    <col min="11" max="11" width="13.125" style="68" customWidth="1"/>
    <col min="12" max="12" width="11.75" style="68" customWidth="1"/>
    <col min="13" max="13" width="11" style="68" customWidth="1"/>
    <col min="14" max="14" width="6.125" style="68" bestFit="1" customWidth="1"/>
    <col min="15" max="15" width="5.75" style="68" customWidth="1"/>
    <col min="16" max="16" width="6.75" style="68" customWidth="1"/>
    <col min="17" max="17" width="10.625" style="68"/>
    <col min="18" max="18" width="6.25" style="68" bestFit="1" customWidth="1"/>
    <col min="19" max="19" width="7.125" style="68" customWidth="1"/>
    <col min="20" max="20" width="9.25" style="68" bestFit="1" customWidth="1"/>
    <col min="21" max="21" width="13.75" style="68" bestFit="1" customWidth="1"/>
    <col min="22" max="16384" width="10.625" style="68"/>
  </cols>
  <sheetData>
    <row r="3" spans="1:17" x14ac:dyDescent="0.25">
      <c r="B3" s="57"/>
    </row>
    <row r="4" spans="1:17" ht="12.75" customHeight="1" x14ac:dyDescent="0.25">
      <c r="B4" s="45"/>
    </row>
    <row r="5" spans="1:17" ht="27.6" customHeight="1" x14ac:dyDescent="0.25">
      <c r="B5" s="226" t="s">
        <v>315</v>
      </c>
      <c r="I5" s="97"/>
      <c r="K5" s="112"/>
    </row>
    <row r="6" spans="1:17" ht="12.75" customHeight="1" x14ac:dyDescent="0.25">
      <c r="A6" s="67"/>
      <c r="B6" s="47">
        <v>900</v>
      </c>
    </row>
    <row r="7" spans="1:17" ht="12.75" customHeight="1" x14ac:dyDescent="0.25">
      <c r="A7" s="67"/>
      <c r="L7" s="81" t="s">
        <v>205</v>
      </c>
    </row>
    <row r="8" spans="1:17" ht="12.75" customHeight="1" x14ac:dyDescent="0.25">
      <c r="A8" s="67"/>
      <c r="B8" s="81"/>
    </row>
    <row r="9" spans="1:17" ht="12.75" customHeight="1" x14ac:dyDescent="0.25">
      <c r="A9" s="67"/>
    </row>
    <row r="10" spans="1:17" ht="12.75" customHeight="1" x14ac:dyDescent="0.25">
      <c r="A10" s="67"/>
      <c r="C10" s="58" t="s">
        <v>316</v>
      </c>
      <c r="F10" s="58" t="s">
        <v>317</v>
      </c>
      <c r="H10" s="58" t="s">
        <v>317</v>
      </c>
    </row>
    <row r="11" spans="1:17" ht="12.75" customHeight="1" x14ac:dyDescent="0.25">
      <c r="A11" s="67"/>
      <c r="C11" s="47">
        <v>0</v>
      </c>
      <c r="F11" s="47">
        <v>0</v>
      </c>
      <c r="H11" s="47">
        <v>15</v>
      </c>
      <c r="J11" s="58" t="s">
        <v>317</v>
      </c>
    </row>
    <row r="12" spans="1:17" ht="12.75" customHeight="1" x14ac:dyDescent="0.25">
      <c r="A12" s="67"/>
      <c r="B12" s="227" t="s">
        <v>318</v>
      </c>
      <c r="J12" s="47">
        <v>0</v>
      </c>
    </row>
    <row r="13" spans="1:17" ht="12.75" customHeight="1" x14ac:dyDescent="0.25">
      <c r="A13" s="67"/>
      <c r="B13" s="58" t="s">
        <v>2</v>
      </c>
      <c r="D13" s="58" t="s">
        <v>319</v>
      </c>
      <c r="G13" s="58" t="s">
        <v>320</v>
      </c>
      <c r="I13" s="58" t="s">
        <v>321</v>
      </c>
      <c r="K13" s="57"/>
    </row>
    <row r="14" spans="1:17" ht="12.75" customHeight="1" x14ac:dyDescent="0.25">
      <c r="A14" s="67"/>
      <c r="B14" s="47">
        <v>170</v>
      </c>
      <c r="D14" s="47">
        <v>170</v>
      </c>
      <c r="G14" s="47">
        <v>155</v>
      </c>
      <c r="I14" s="47">
        <v>90</v>
      </c>
      <c r="J14" s="57"/>
      <c r="K14" s="58" t="s">
        <v>322</v>
      </c>
      <c r="L14" s="57"/>
      <c r="M14" s="57"/>
      <c r="N14" s="57"/>
      <c r="O14" s="57"/>
      <c r="P14" s="57"/>
      <c r="Q14" s="57"/>
    </row>
    <row r="15" spans="1:17" ht="12.75" customHeight="1" x14ac:dyDescent="0.25">
      <c r="A15" s="67"/>
      <c r="B15" s="91"/>
      <c r="C15" s="91"/>
      <c r="D15" s="91"/>
      <c r="E15" s="91"/>
      <c r="F15" s="91"/>
      <c r="G15" s="91"/>
      <c r="H15" s="91"/>
      <c r="I15" s="91"/>
      <c r="J15" s="91"/>
      <c r="K15" s="47">
        <v>0</v>
      </c>
      <c r="L15" s="58"/>
      <c r="M15" s="59"/>
      <c r="N15" s="57"/>
      <c r="O15" s="57"/>
      <c r="P15" s="57"/>
      <c r="Q15" s="57"/>
    </row>
    <row r="16" spans="1:17" ht="12.75" customHeight="1" x14ac:dyDescent="0.25">
      <c r="A16" s="67"/>
      <c r="C16" s="58" t="s">
        <v>324</v>
      </c>
      <c r="F16" s="58" t="s">
        <v>325</v>
      </c>
      <c r="H16" s="58" t="s">
        <v>326</v>
      </c>
      <c r="J16" s="58" t="s">
        <v>327</v>
      </c>
      <c r="L16" s="60"/>
      <c r="M16" s="61"/>
      <c r="N16" s="57"/>
      <c r="O16" s="57"/>
      <c r="P16" s="57"/>
      <c r="Q16" s="57"/>
    </row>
    <row r="17" spans="1:24" ht="12.75" customHeight="1" x14ac:dyDescent="0.25">
      <c r="A17" s="67"/>
      <c r="C17" s="47">
        <v>600</v>
      </c>
      <c r="D17" s="72"/>
      <c r="F17" s="47">
        <v>80</v>
      </c>
      <c r="G17" s="72"/>
      <c r="H17" s="47">
        <v>75</v>
      </c>
      <c r="J17" s="47">
        <v>0</v>
      </c>
    </row>
    <row r="18" spans="1:24" ht="12.75" customHeight="1" x14ac:dyDescent="0.25">
      <c r="A18" s="67"/>
      <c r="D18" s="57"/>
      <c r="G18" s="57"/>
    </row>
    <row r="19" spans="1:24" ht="12.75" customHeight="1" thickBot="1" x14ac:dyDescent="0.3">
      <c r="A19" s="67"/>
      <c r="B19" s="99" t="s">
        <v>206</v>
      </c>
      <c r="D19" s="72"/>
      <c r="E19" s="57"/>
      <c r="G19" s="225" t="s">
        <v>328</v>
      </c>
    </row>
    <row r="20" spans="1:24" ht="41.25" customHeight="1" thickBot="1" x14ac:dyDescent="0.3">
      <c r="A20" s="67"/>
      <c r="B20" s="253" t="s">
        <v>33</v>
      </c>
      <c r="C20" s="254"/>
      <c r="D20" s="230" t="s">
        <v>415</v>
      </c>
      <c r="E20" s="231"/>
      <c r="F20" s="231"/>
      <c r="G20" s="231"/>
      <c r="H20" s="232"/>
    </row>
    <row r="21" spans="1:24" ht="15.75" customHeight="1" x14ac:dyDescent="0.25">
      <c r="A21" s="67"/>
      <c r="B21" s="47">
        <v>315</v>
      </c>
      <c r="J21" s="79"/>
    </row>
    <row r="22" spans="1:24" ht="12.75" customHeight="1" thickBot="1" x14ac:dyDescent="0.3">
      <c r="A22" s="67"/>
      <c r="F22" s="57" t="s">
        <v>0</v>
      </c>
      <c r="G22" s="57" t="s">
        <v>1</v>
      </c>
      <c r="H22" s="57" t="s">
        <v>0</v>
      </c>
      <c r="I22" s="57" t="s">
        <v>1</v>
      </c>
      <c r="J22" s="57" t="s">
        <v>0</v>
      </c>
      <c r="K22" s="57" t="s">
        <v>1</v>
      </c>
      <c r="L22" s="72" t="s">
        <v>0</v>
      </c>
      <c r="M22" s="72" t="s">
        <v>1</v>
      </c>
    </row>
    <row r="23" spans="1:24" ht="30" customHeight="1" x14ac:dyDescent="0.25">
      <c r="A23" s="67"/>
      <c r="B23" s="260" t="s">
        <v>414</v>
      </c>
      <c r="C23" s="261"/>
      <c r="D23" s="262"/>
      <c r="F23" s="57">
        <v>0</v>
      </c>
      <c r="G23" s="57">
        <v>0</v>
      </c>
      <c r="H23" s="57">
        <f>F25</f>
        <v>600</v>
      </c>
      <c r="I23" s="57">
        <f>G25</f>
        <v>170</v>
      </c>
      <c r="J23" s="57">
        <f>H24</f>
        <v>680</v>
      </c>
      <c r="K23" s="57">
        <f>I24</f>
        <v>170</v>
      </c>
      <c r="L23" s="72">
        <f>J24</f>
        <v>755</v>
      </c>
      <c r="M23" s="72">
        <f>K24</f>
        <v>155</v>
      </c>
    </row>
    <row r="24" spans="1:24" ht="25.5" customHeight="1" thickBot="1" x14ac:dyDescent="0.3">
      <c r="A24" s="67"/>
      <c r="B24" s="255" t="s">
        <v>34</v>
      </c>
      <c r="C24" s="256"/>
      <c r="D24" s="229"/>
      <c r="F24" s="57">
        <v>0</v>
      </c>
      <c r="G24" s="57">
        <f>B14</f>
        <v>170</v>
      </c>
      <c r="H24" s="57">
        <f>C17+F17</f>
        <v>680</v>
      </c>
      <c r="I24" s="57">
        <f>I23-F11</f>
        <v>170</v>
      </c>
      <c r="J24" s="57">
        <f>C17+F17+H17</f>
        <v>755</v>
      </c>
      <c r="K24" s="57">
        <f>K23-H11</f>
        <v>155</v>
      </c>
      <c r="L24" s="72">
        <f>C17+F17+H17+J17</f>
        <v>755</v>
      </c>
      <c r="M24" s="72">
        <f>M23-J12</f>
        <v>155</v>
      </c>
    </row>
    <row r="25" spans="1:24" ht="12.75" customHeight="1" x14ac:dyDescent="0.25">
      <c r="A25" s="67"/>
      <c r="B25" s="47">
        <v>470</v>
      </c>
      <c r="C25" s="57"/>
      <c r="F25" s="57">
        <f>C17</f>
        <v>600</v>
      </c>
      <c r="G25" s="57">
        <f>B14-C11</f>
        <v>170</v>
      </c>
      <c r="H25" s="57">
        <f>C17+F17</f>
        <v>680</v>
      </c>
      <c r="I25" s="57">
        <f>I24-G14</f>
        <v>15</v>
      </c>
      <c r="J25" s="57">
        <f>C17+F17+H17</f>
        <v>755</v>
      </c>
      <c r="K25" s="57">
        <f>K24-I14</f>
        <v>65</v>
      </c>
      <c r="L25" s="72">
        <f>C17+F17+H17+J17</f>
        <v>755</v>
      </c>
      <c r="M25" s="57">
        <f>M24-K15</f>
        <v>155</v>
      </c>
    </row>
    <row r="26" spans="1:24" ht="12.75" customHeight="1" x14ac:dyDescent="0.25">
      <c r="A26" s="67"/>
      <c r="F26" s="57">
        <f>C17</f>
        <v>600</v>
      </c>
      <c r="G26" s="57">
        <f>G25-D14</f>
        <v>0</v>
      </c>
      <c r="H26" s="57">
        <f>F26</f>
        <v>600</v>
      </c>
      <c r="I26" s="57">
        <f>G26</f>
        <v>0</v>
      </c>
      <c r="J26" s="57">
        <f>H25</f>
        <v>680</v>
      </c>
      <c r="K26" s="57">
        <f>I25</f>
        <v>15</v>
      </c>
      <c r="L26" s="68">
        <f>J25</f>
        <v>755</v>
      </c>
      <c r="M26" s="57">
        <f>K25</f>
        <v>65</v>
      </c>
    </row>
    <row r="27" spans="1:24" ht="12.75" customHeight="1" x14ac:dyDescent="0.25">
      <c r="A27" s="67"/>
      <c r="F27" s="57">
        <v>0</v>
      </c>
      <c r="G27" s="57">
        <v>0</v>
      </c>
      <c r="H27" s="57"/>
      <c r="I27" s="57"/>
      <c r="J27" s="57"/>
      <c r="K27" s="57"/>
    </row>
    <row r="28" spans="1:24" ht="12.75" customHeight="1" x14ac:dyDescent="0.25">
      <c r="A28" s="67"/>
      <c r="I28" s="92" t="s">
        <v>131</v>
      </c>
      <c r="J28" s="72"/>
      <c r="K28" s="49"/>
      <c r="L28" s="64"/>
      <c r="M28" s="49"/>
      <c r="S28" s="73"/>
      <c r="V28" s="74"/>
      <c r="W28" s="75"/>
    </row>
    <row r="29" spans="1:24" ht="12.75" customHeight="1" x14ac:dyDescent="0.25">
      <c r="A29" s="67"/>
      <c r="E29" s="228" t="s">
        <v>125</v>
      </c>
      <c r="F29" s="92">
        <v>0</v>
      </c>
      <c r="G29" s="94">
        <f>B14-C43</f>
        <v>128.01283341721188</v>
      </c>
      <c r="H29" s="72"/>
      <c r="I29" s="95">
        <v>0</v>
      </c>
      <c r="J29" s="96">
        <f>F31</f>
        <v>366.16859587317566</v>
      </c>
      <c r="K29" s="57"/>
      <c r="L29" s="64"/>
      <c r="M29" s="49"/>
      <c r="Q29" s="48"/>
      <c r="S29" s="57"/>
      <c r="T29" s="73"/>
      <c r="U29" s="76"/>
      <c r="V29" s="74"/>
      <c r="W29" s="69"/>
    </row>
    <row r="30" spans="1:24" s="57" customFormat="1" ht="12.75" customHeight="1" x14ac:dyDescent="0.25">
      <c r="A30" s="67"/>
      <c r="B30" s="68"/>
      <c r="C30" s="68"/>
      <c r="D30" s="68"/>
      <c r="E30" s="68"/>
      <c r="F30" s="97"/>
      <c r="G30" s="92"/>
      <c r="H30" s="72"/>
      <c r="I30" s="95">
        <f>G29</f>
        <v>128.01283341721188</v>
      </c>
      <c r="J30" s="96">
        <f>G29</f>
        <v>128.01283341721188</v>
      </c>
      <c r="K30" s="49"/>
      <c r="M30" s="49"/>
      <c r="N30" s="74"/>
      <c r="O30" s="68"/>
      <c r="P30" s="68"/>
      <c r="Q30" s="48"/>
      <c r="R30" s="68"/>
      <c r="T30" s="74"/>
      <c r="U30" s="72"/>
      <c r="V30" s="74"/>
      <c r="W30" s="68"/>
    </row>
    <row r="31" spans="1:24" s="57" customFormat="1" ht="12.75" customHeight="1" x14ac:dyDescent="0.25">
      <c r="A31" s="67"/>
      <c r="B31" s="68"/>
      <c r="C31" s="68"/>
      <c r="D31" s="98"/>
      <c r="E31" s="93" t="s">
        <v>128</v>
      </c>
      <c r="F31" s="96">
        <f>C44</f>
        <v>366.16859587317566</v>
      </c>
      <c r="G31" s="94">
        <f>0.25*C39+G29</f>
        <v>169.49421238047307</v>
      </c>
      <c r="H31" s="99" t="s">
        <v>129</v>
      </c>
      <c r="I31" s="68"/>
      <c r="J31" s="48"/>
      <c r="N31" s="100"/>
      <c r="O31" s="74"/>
      <c r="P31" s="68"/>
      <c r="Q31" s="68"/>
      <c r="R31" s="68"/>
      <c r="S31" s="68"/>
      <c r="T31" s="68"/>
    </row>
    <row r="32" spans="1:24" x14ac:dyDescent="0.25">
      <c r="B32" s="101"/>
      <c r="D32" s="102"/>
      <c r="E32" s="99" t="s">
        <v>128</v>
      </c>
      <c r="F32" s="75">
        <f>C44</f>
        <v>366.16859587317566</v>
      </c>
      <c r="G32" s="94">
        <f>G31-C39</f>
        <v>3.5686965274283011</v>
      </c>
      <c r="H32" s="99" t="s">
        <v>129</v>
      </c>
      <c r="J32" s="48"/>
      <c r="L32" s="57"/>
      <c r="M32" s="103"/>
      <c r="N32" s="100"/>
      <c r="O32" s="74"/>
      <c r="Q32" s="57"/>
      <c r="R32" s="57"/>
      <c r="S32" s="57"/>
      <c r="T32" s="57"/>
      <c r="U32" s="57"/>
      <c r="V32" s="57"/>
      <c r="W32" s="57"/>
      <c r="X32" s="57"/>
    </row>
    <row r="33" spans="1:22" x14ac:dyDescent="0.25">
      <c r="B33" s="101"/>
      <c r="E33" s="57"/>
      <c r="M33" s="57"/>
      <c r="N33" s="57"/>
      <c r="P33" s="57"/>
      <c r="Q33" s="57"/>
      <c r="R33" s="57"/>
      <c r="S33" s="57"/>
      <c r="T33" s="57"/>
    </row>
    <row r="34" spans="1:22" ht="18" x14ac:dyDescent="0.25">
      <c r="A34" s="258" t="s">
        <v>96</v>
      </c>
      <c r="B34" s="259"/>
      <c r="C34" s="259"/>
      <c r="D34" s="57"/>
      <c r="E34" s="57"/>
      <c r="M34" s="57"/>
      <c r="N34" s="57"/>
      <c r="P34" s="57"/>
      <c r="Q34" s="57"/>
      <c r="R34" s="57"/>
      <c r="S34" s="57"/>
      <c r="T34" s="57"/>
    </row>
    <row r="35" spans="1:22" ht="12.75" customHeight="1" x14ac:dyDescent="0.25">
      <c r="A35" s="72" t="s">
        <v>9</v>
      </c>
      <c r="C35" s="69">
        <f>2*(C17+F17+H17+J17)</f>
        <v>1510</v>
      </c>
      <c r="D35" s="72" t="s">
        <v>171</v>
      </c>
      <c r="L35" s="57"/>
      <c r="R35" s="57"/>
      <c r="S35" s="57"/>
      <c r="T35" s="57"/>
      <c r="U35" s="57"/>
      <c r="V35" s="57"/>
    </row>
    <row r="36" spans="1:22" ht="12.75" customHeight="1" x14ac:dyDescent="0.25">
      <c r="A36" s="72" t="s">
        <v>10</v>
      </c>
      <c r="C36" s="95">
        <f>C35*C38/10000</f>
        <v>24.837499999999999</v>
      </c>
      <c r="D36" s="99" t="s">
        <v>174</v>
      </c>
      <c r="L36" s="57"/>
      <c r="R36" s="57"/>
      <c r="S36" s="57"/>
      <c r="T36" s="57"/>
      <c r="U36" s="57"/>
      <c r="V36" s="57"/>
    </row>
    <row r="37" spans="1:22" ht="14.25" x14ac:dyDescent="0.25">
      <c r="A37" s="72" t="s">
        <v>11</v>
      </c>
      <c r="C37" s="69">
        <f>B6/C36</f>
        <v>36.235530951182689</v>
      </c>
      <c r="D37" s="72" t="s">
        <v>175</v>
      </c>
      <c r="L37" s="57"/>
      <c r="R37" s="57"/>
      <c r="S37" s="57"/>
      <c r="T37" s="57"/>
      <c r="U37" s="57"/>
      <c r="V37" s="57"/>
    </row>
    <row r="38" spans="1:22" ht="12.75" customHeight="1" x14ac:dyDescent="0.25">
      <c r="A38" s="72" t="s">
        <v>12</v>
      </c>
      <c r="C38" s="69">
        <f>(C60+C70+C80+C90)/(C17+F17+H17+J17)*10000</f>
        <v>164.48675496688742</v>
      </c>
      <c r="D38" s="72" t="s">
        <v>171</v>
      </c>
      <c r="L38" s="57"/>
      <c r="R38" s="57"/>
      <c r="S38" s="57"/>
      <c r="T38" s="57"/>
      <c r="U38" s="57"/>
      <c r="V38" s="57"/>
    </row>
    <row r="39" spans="1:22" ht="12.75" customHeight="1" x14ac:dyDescent="0.25">
      <c r="A39" s="99" t="s">
        <v>127</v>
      </c>
      <c r="C39" s="95">
        <f>((C60*C62)+(C70*C72)+(C80*C82)+(C90*C92))/(C60+C70+C80+C90)</f>
        <v>165.92551585304477</v>
      </c>
      <c r="D39" s="99" t="s">
        <v>171</v>
      </c>
      <c r="E39" s="70"/>
      <c r="L39" s="57"/>
      <c r="R39" s="57"/>
      <c r="S39" s="57"/>
      <c r="T39" s="57"/>
      <c r="U39" s="57"/>
      <c r="V39" s="57"/>
    </row>
    <row r="40" spans="1:22" ht="15.75" x14ac:dyDescent="0.25">
      <c r="A40" s="72" t="s">
        <v>29</v>
      </c>
      <c r="C40" s="69">
        <f>C35/C38</f>
        <v>9.18007045797685</v>
      </c>
      <c r="D40" s="72"/>
      <c r="E40" s="70" t="s">
        <v>120</v>
      </c>
      <c r="J40" s="233" t="s">
        <v>333</v>
      </c>
      <c r="K40" s="70"/>
    </row>
    <row r="41" spans="1:22" ht="15.75" x14ac:dyDescent="0.25">
      <c r="A41" s="99" t="s">
        <v>189</v>
      </c>
      <c r="C41" s="69">
        <f>2*C38/B14-1</f>
        <v>0.93513829372808721</v>
      </c>
      <c r="D41" s="72"/>
      <c r="E41" s="70" t="s">
        <v>138</v>
      </c>
      <c r="H41" s="234" t="s">
        <v>334</v>
      </c>
      <c r="K41" s="70"/>
    </row>
    <row r="42" spans="1:22" ht="12.75" customHeight="1" x14ac:dyDescent="0.25">
      <c r="A42" s="72" t="s">
        <v>13</v>
      </c>
      <c r="C42" s="69">
        <f>(C60*C61+C70*C71+C80*C81+C90*C91)/C36*2-C39*0.25</f>
        <v>0.5057876195269273</v>
      </c>
      <c r="D42" s="72" t="s">
        <v>171</v>
      </c>
      <c r="E42" s="70" t="s">
        <v>139</v>
      </c>
      <c r="K42" s="70"/>
    </row>
    <row r="43" spans="1:22" ht="26.45" customHeight="1" x14ac:dyDescent="0.25">
      <c r="A43" s="72" t="s">
        <v>14</v>
      </c>
      <c r="C43" s="69">
        <f>C42+C39*0.25</f>
        <v>41.98716658278812</v>
      </c>
      <c r="D43" s="72" t="s">
        <v>171</v>
      </c>
      <c r="E43" s="235"/>
      <c r="F43" s="263" t="s">
        <v>335</v>
      </c>
      <c r="G43" s="263"/>
      <c r="H43" s="263"/>
      <c r="I43" s="263"/>
      <c r="J43" s="263"/>
      <c r="K43" s="263"/>
      <c r="L43" s="263"/>
    </row>
    <row r="44" spans="1:22" ht="12.75" customHeight="1" x14ac:dyDescent="0.25">
      <c r="A44" s="99" t="s">
        <v>124</v>
      </c>
      <c r="C44" s="69">
        <f>((C60*C65)+(C70*C75)+(C80*C85)+(C90*C95))/(C60+C70+C80+C90)</f>
        <v>366.16859587317566</v>
      </c>
      <c r="D44" s="99" t="s">
        <v>171</v>
      </c>
      <c r="E44" s="142"/>
      <c r="I44" s="187"/>
      <c r="K44" s="70"/>
    </row>
    <row r="45" spans="1:22" ht="12.75" customHeight="1" x14ac:dyDescent="0.25">
      <c r="A45" s="99"/>
      <c r="C45" s="69"/>
      <c r="D45" s="99"/>
      <c r="F45" s="197" t="s">
        <v>194</v>
      </c>
      <c r="G45" s="97"/>
      <c r="H45" s="97"/>
      <c r="K45" s="142"/>
      <c r="L45" s="248"/>
      <c r="M45" s="249"/>
      <c r="N45" s="57"/>
      <c r="O45" s="72"/>
    </row>
    <row r="46" spans="1:22" ht="12.75" customHeight="1" x14ac:dyDescent="0.25">
      <c r="A46" s="99"/>
      <c r="B46" s="58" t="s">
        <v>168</v>
      </c>
      <c r="C46" s="69"/>
      <c r="D46" s="99"/>
      <c r="F46" s="93" t="s">
        <v>195</v>
      </c>
      <c r="G46" s="200">
        <v>24</v>
      </c>
      <c r="H46" s="97" t="s">
        <v>173</v>
      </c>
      <c r="I46" s="227" t="s">
        <v>330</v>
      </c>
      <c r="L46" s="72"/>
      <c r="N46" s="202"/>
      <c r="O46" s="72"/>
    </row>
    <row r="47" spans="1:22" ht="12.75" customHeight="1" x14ac:dyDescent="0.25">
      <c r="A47" s="99" t="s">
        <v>9</v>
      </c>
      <c r="C47" s="69">
        <f>SUM(C66+C76+C86+C96)*2</f>
        <v>1507.9063616563562</v>
      </c>
      <c r="D47" s="72" t="s">
        <v>171</v>
      </c>
      <c r="F47" s="93" t="s">
        <v>196</v>
      </c>
      <c r="G47" s="198">
        <f>9360*(G46/1.609344)*((C38/25.4)*0.0833333)</f>
        <v>75327.577628326544</v>
      </c>
      <c r="H47" s="97"/>
      <c r="J47" s="186"/>
      <c r="L47" s="72"/>
      <c r="N47" s="104"/>
      <c r="O47" s="57"/>
    </row>
    <row r="48" spans="1:22" ht="12.75" customHeight="1" x14ac:dyDescent="0.25">
      <c r="A48" s="99" t="s">
        <v>10</v>
      </c>
      <c r="C48" s="95">
        <f>C47*C49/10000</f>
        <v>24.809315829863785</v>
      </c>
      <c r="D48" s="99" t="s">
        <v>174</v>
      </c>
      <c r="F48" s="70"/>
      <c r="G48" s="93"/>
      <c r="H48" s="198"/>
      <c r="L48" s="57"/>
    </row>
    <row r="49" spans="1:12" ht="15.75" x14ac:dyDescent="0.25">
      <c r="A49" s="99" t="s">
        <v>12</v>
      </c>
      <c r="C49" s="69">
        <f>(C67+C77+C87+C97)/(C66+C76+C86+C96)*10000</f>
        <v>164.52822576205628</v>
      </c>
      <c r="D49" s="99" t="s">
        <v>171</v>
      </c>
      <c r="F49" s="199" t="s">
        <v>197</v>
      </c>
      <c r="G49" s="97"/>
      <c r="H49" s="97"/>
      <c r="K49" s="69"/>
      <c r="L49" s="49"/>
    </row>
    <row r="50" spans="1:12" ht="12.75" customHeight="1" x14ac:dyDescent="0.25">
      <c r="A50" s="99" t="s">
        <v>11</v>
      </c>
      <c r="C50" s="69">
        <f>B6/C48</f>
        <v>36.276695664321409</v>
      </c>
      <c r="D50" s="72" t="s">
        <v>175</v>
      </c>
      <c r="F50" s="97"/>
      <c r="G50" s="79" t="s">
        <v>198</v>
      </c>
      <c r="H50" s="97"/>
      <c r="K50" s="69"/>
      <c r="L50" s="49"/>
    </row>
    <row r="51" spans="1:12" ht="12.75" customHeight="1" x14ac:dyDescent="0.25">
      <c r="A51" s="99" t="s">
        <v>169</v>
      </c>
      <c r="C51" s="69">
        <f>C47/C49</f>
        <v>9.165031438660975</v>
      </c>
      <c r="D51" s="99"/>
      <c r="F51" s="93" t="s">
        <v>199</v>
      </c>
      <c r="G51" s="200">
        <v>17.5</v>
      </c>
      <c r="H51" s="99" t="s">
        <v>173</v>
      </c>
      <c r="I51" s="227" t="s">
        <v>331</v>
      </c>
      <c r="K51" s="69"/>
      <c r="L51" s="49"/>
    </row>
    <row r="52" spans="1:12" ht="12.75" customHeight="1" x14ac:dyDescent="0.25">
      <c r="A52" s="99"/>
      <c r="C52" s="69"/>
      <c r="D52" s="99"/>
      <c r="F52" s="93" t="s">
        <v>160</v>
      </c>
      <c r="G52" s="108">
        <f>ROUND(((B6*0.0352736)*0.0625)/((0.5*0.002378*((G51*0.6213712)*1.466667)^2)*(C36*1550.003*0.006944444))*100,2)</f>
        <v>2.4500000000000002</v>
      </c>
      <c r="H52" s="97"/>
      <c r="I52" s="97"/>
      <c r="K52" s="69"/>
      <c r="L52" s="49"/>
    </row>
    <row r="53" spans="1:12" ht="12.75" customHeight="1" x14ac:dyDescent="0.25">
      <c r="A53" s="99"/>
      <c r="C53" s="69"/>
      <c r="D53" s="99"/>
      <c r="F53" s="93" t="s">
        <v>200</v>
      </c>
      <c r="G53" s="201">
        <f>G51*4</f>
        <v>70</v>
      </c>
      <c r="H53" s="97" t="s">
        <v>173</v>
      </c>
      <c r="I53" s="227" t="s">
        <v>332</v>
      </c>
      <c r="J53" s="227"/>
      <c r="K53" s="69"/>
      <c r="L53" s="49"/>
    </row>
    <row r="54" spans="1:12" ht="12.75" customHeight="1" x14ac:dyDescent="0.25">
      <c r="A54" s="99"/>
      <c r="C54" s="69"/>
      <c r="D54" s="99"/>
      <c r="E54" s="97"/>
      <c r="F54" s="93" t="s">
        <v>201</v>
      </c>
      <c r="G54" s="201">
        <f>(0.6*((C36*1550.003/100)*0.00064516)*G52*(G53*0.621371192*1.609344/3.6)^2)*0.224808943/((B6*0.0352739619)*0.0625)</f>
        <v>15.640588154733212</v>
      </c>
      <c r="H54" s="97" t="s">
        <v>202</v>
      </c>
      <c r="I54" s="227" t="s">
        <v>329</v>
      </c>
      <c r="K54" s="69"/>
      <c r="L54" s="49"/>
    </row>
    <row r="55" spans="1:12" ht="12.75" customHeight="1" x14ac:dyDescent="0.25">
      <c r="A55" s="99"/>
      <c r="C55" s="69"/>
      <c r="D55" s="99"/>
      <c r="F55" s="97"/>
      <c r="G55" s="97"/>
      <c r="H55" s="97"/>
      <c r="K55" s="69"/>
      <c r="L55" s="49"/>
    </row>
    <row r="56" spans="1:12" ht="12.75" customHeight="1" x14ac:dyDescent="0.25">
      <c r="A56" s="99"/>
      <c r="C56" s="69"/>
      <c r="D56" s="99"/>
      <c r="F56" s="97"/>
      <c r="G56" s="79" t="s">
        <v>203</v>
      </c>
      <c r="H56" s="97"/>
      <c r="K56" s="69"/>
      <c r="L56" s="49"/>
    </row>
    <row r="57" spans="1:12" x14ac:dyDescent="0.25">
      <c r="A57" s="99"/>
      <c r="C57" s="69"/>
      <c r="D57" s="72"/>
      <c r="F57" s="93" t="s">
        <v>160</v>
      </c>
      <c r="G57" s="203">
        <v>0.9</v>
      </c>
      <c r="H57" s="99"/>
    </row>
    <row r="58" spans="1:12" x14ac:dyDescent="0.25">
      <c r="A58" s="77" t="s">
        <v>32</v>
      </c>
      <c r="C58" s="69"/>
      <c r="D58" s="72"/>
      <c r="F58" s="93" t="s">
        <v>204</v>
      </c>
      <c r="G58" s="201">
        <f>SQRT((C37*0.327868852459*3.05)*1.635/G57)*2.23693629*1.609344</f>
        <v>29.208377893124688</v>
      </c>
      <c r="H58" s="99" t="s">
        <v>173</v>
      </c>
      <c r="I58" s="227" t="s">
        <v>331</v>
      </c>
    </row>
    <row r="59" spans="1:12" x14ac:dyDescent="0.25">
      <c r="A59" s="248" t="s">
        <v>4</v>
      </c>
      <c r="B59" s="257"/>
      <c r="C59" s="257"/>
      <c r="D59" s="57"/>
      <c r="F59" s="93" t="s">
        <v>200</v>
      </c>
      <c r="G59" s="201">
        <f>G58*4</f>
        <v>116.83351157249875</v>
      </c>
      <c r="H59" s="96" t="s">
        <v>173</v>
      </c>
      <c r="I59" s="227" t="s">
        <v>332</v>
      </c>
    </row>
    <row r="60" spans="1:12" ht="14.25" x14ac:dyDescent="0.25">
      <c r="A60" s="99" t="s">
        <v>6</v>
      </c>
      <c r="B60" s="97"/>
      <c r="C60" s="95">
        <f>C17*(B14+D14)/2/10000</f>
        <v>10.199999999999999</v>
      </c>
      <c r="D60" s="99" t="s">
        <v>174</v>
      </c>
      <c r="E60" s="97"/>
      <c r="F60" s="93" t="s">
        <v>201</v>
      </c>
      <c r="G60" s="201">
        <f>(0.6*(C36*1550.003/100*0.00064516)*G57*(G59*0.621371192*1.609344/3.6)^2)*0.224808943/(B6*0.0352739619*0.0625)</f>
        <v>16.005464620000659</v>
      </c>
      <c r="H60" s="96" t="s">
        <v>202</v>
      </c>
      <c r="I60" s="227" t="s">
        <v>329</v>
      </c>
      <c r="K60" s="99"/>
    </row>
    <row r="61" spans="1:12" x14ac:dyDescent="0.25">
      <c r="A61" s="99" t="s">
        <v>8</v>
      </c>
      <c r="B61" s="97"/>
      <c r="C61" s="95">
        <f>C11*(B14+2*D14)/3/(B14+D14)+(B14+D14-B14*D14/(B14+D14))/6</f>
        <v>42.5</v>
      </c>
      <c r="D61" s="68" t="s">
        <v>171</v>
      </c>
      <c r="G61" s="101"/>
      <c r="K61" s="99"/>
    </row>
    <row r="62" spans="1:12" x14ac:dyDescent="0.25">
      <c r="A62" s="99" t="s">
        <v>126</v>
      </c>
      <c r="B62" s="97"/>
      <c r="C62" s="95">
        <f>2/3*(B14+(D14-((B14*D14)/(B14+D14))))</f>
        <v>170</v>
      </c>
      <c r="D62" s="68" t="s">
        <v>171</v>
      </c>
      <c r="G62" s="101"/>
      <c r="K62" s="99"/>
    </row>
    <row r="63" spans="1:12" x14ac:dyDescent="0.25">
      <c r="A63" s="99" t="s">
        <v>123</v>
      </c>
      <c r="B63" s="97"/>
      <c r="C63" s="95">
        <f>(C11*(B14+2*D14))/(3*(B14+D14))</f>
        <v>0</v>
      </c>
      <c r="D63" s="68" t="s">
        <v>171</v>
      </c>
      <c r="E63" s="72"/>
      <c r="K63" s="113"/>
    </row>
    <row r="64" spans="1:12" x14ac:dyDescent="0.25">
      <c r="A64" s="99" t="s">
        <v>155</v>
      </c>
      <c r="B64" s="97"/>
      <c r="C64" s="176">
        <f>ATAN(C11/C17)*(180/(PI()))</f>
        <v>0</v>
      </c>
      <c r="D64" s="97" t="s">
        <v>156</v>
      </c>
      <c r="E64" s="72"/>
      <c r="K64" s="113"/>
    </row>
    <row r="65" spans="1:12" x14ac:dyDescent="0.25">
      <c r="A65" s="99" t="s">
        <v>124</v>
      </c>
      <c r="B65" s="99"/>
      <c r="C65" s="95">
        <f>IF(B14=D14,C17/2,(C17*(B14-C62)/(B14-D14)))</f>
        <v>300</v>
      </c>
      <c r="D65" s="68" t="s">
        <v>171</v>
      </c>
      <c r="E65" s="72"/>
      <c r="K65" s="113"/>
    </row>
    <row r="66" spans="1:12" x14ac:dyDescent="0.25">
      <c r="A66" s="99" t="s">
        <v>166</v>
      </c>
      <c r="B66" s="99"/>
      <c r="C66" s="108">
        <f>((C17)^2-('Wing Dihedral'!E14)^2)^0.5</f>
        <v>599.98984983081175</v>
      </c>
      <c r="D66" s="68" t="s">
        <v>171</v>
      </c>
      <c r="E66" s="72"/>
      <c r="G66" s="101"/>
      <c r="K66" s="49"/>
    </row>
    <row r="67" spans="1:12" ht="14.25" x14ac:dyDescent="0.25">
      <c r="A67" s="99" t="s">
        <v>167</v>
      </c>
      <c r="B67" s="97"/>
      <c r="C67" s="108">
        <f>C66*(B14+D14)/2/10000</f>
        <v>10.1998274471238</v>
      </c>
      <c r="D67" s="99" t="s">
        <v>174</v>
      </c>
      <c r="E67" s="72"/>
      <c r="G67" s="101"/>
      <c r="K67" s="49"/>
    </row>
    <row r="68" spans="1:12" x14ac:dyDescent="0.25">
      <c r="A68" s="99"/>
      <c r="B68" s="97"/>
      <c r="C68" s="95"/>
      <c r="F68" s="72"/>
      <c r="G68" s="69"/>
      <c r="H68" s="105"/>
      <c r="I68" s="106"/>
      <c r="J68" s="49"/>
      <c r="L68" s="57"/>
    </row>
    <row r="69" spans="1:12" ht="14.25" x14ac:dyDescent="0.25">
      <c r="A69" s="250" t="s">
        <v>5</v>
      </c>
      <c r="B69" s="252"/>
      <c r="C69" s="252"/>
      <c r="D69" s="57"/>
      <c r="F69" s="72"/>
      <c r="G69" s="114"/>
      <c r="H69" s="115"/>
      <c r="I69" s="106"/>
      <c r="J69" s="49"/>
      <c r="L69" s="57"/>
    </row>
    <row r="70" spans="1:12" ht="14.25" x14ac:dyDescent="0.25">
      <c r="A70" s="99" t="s">
        <v>7</v>
      </c>
      <c r="B70" s="99"/>
      <c r="C70" s="108">
        <f>IF(F17=0,"0",F17*(D14+G14)/2)/10000</f>
        <v>1.3</v>
      </c>
      <c r="D70" s="99" t="s">
        <v>174</v>
      </c>
      <c r="G70" s="69"/>
      <c r="I70" s="106"/>
    </row>
    <row r="71" spans="1:12" x14ac:dyDescent="0.25">
      <c r="A71" s="99" t="s">
        <v>27</v>
      </c>
      <c r="B71" s="99"/>
      <c r="C71" s="108">
        <f>IF(G14=0,"0",F11*(D14+2*G14)/3/(D14+G14)+(D14+G14-D14*G14/(D14+G14))/6+C11)</f>
        <v>40.653846153846153</v>
      </c>
      <c r="D71" s="68" t="s">
        <v>171</v>
      </c>
    </row>
    <row r="72" spans="1:12" x14ac:dyDescent="0.25">
      <c r="A72" s="99" t="s">
        <v>126</v>
      </c>
      <c r="B72" s="99"/>
      <c r="C72" s="95">
        <f>2/3*(D14+(G14-((D14*G14)/(D14+G14))))</f>
        <v>162.61538461538458</v>
      </c>
      <c r="D72" s="68" t="s">
        <v>171</v>
      </c>
      <c r="E72" s="107"/>
    </row>
    <row r="73" spans="1:12" x14ac:dyDescent="0.25">
      <c r="A73" s="99" t="s">
        <v>123</v>
      </c>
      <c r="B73" s="99"/>
      <c r="C73" s="108">
        <f>IF(F11=0,0,((F11*(D14+2*G14))/(3*(D14+G14))))</f>
        <v>0</v>
      </c>
      <c r="D73" s="68" t="s">
        <v>171</v>
      </c>
      <c r="E73" s="72"/>
    </row>
    <row r="74" spans="1:12" x14ac:dyDescent="0.25">
      <c r="A74" s="99" t="s">
        <v>155</v>
      </c>
      <c r="B74" s="97"/>
      <c r="C74" s="176">
        <f>IF(F17=0,0,ATAN(F11/F17)*(180/(PI())))</f>
        <v>0</v>
      </c>
      <c r="D74" s="97" t="s">
        <v>156</v>
      </c>
      <c r="E74" s="72"/>
      <c r="K74" s="113"/>
    </row>
    <row r="75" spans="1:12" x14ac:dyDescent="0.25">
      <c r="A75" s="99" t="s">
        <v>124</v>
      </c>
      <c r="B75" s="99"/>
      <c r="C75" s="108">
        <f>IF(D14=G14,C17+F17/2,(C17+F17*((D14-C72)/(D14-G14))))</f>
        <v>639.38461538461559</v>
      </c>
      <c r="D75" s="97" t="s">
        <v>171</v>
      </c>
      <c r="E75" s="72"/>
      <c r="K75" s="113"/>
    </row>
    <row r="76" spans="1:12" x14ac:dyDescent="0.25">
      <c r="A76" s="99" t="s">
        <v>166</v>
      </c>
      <c r="B76" s="99"/>
      <c r="C76" s="108">
        <f>IF(F17=0,0,((F17)^2-('Wing Dihedral'!G13-'Wing Dihedral'!E14)^2)^0.5)</f>
        <v>79.694915772588658</v>
      </c>
      <c r="D76" s="68" t="s">
        <v>171</v>
      </c>
      <c r="E76" s="72"/>
      <c r="K76" s="113"/>
    </row>
    <row r="77" spans="1:12" ht="14.25" x14ac:dyDescent="0.25">
      <c r="A77" s="99" t="s">
        <v>167</v>
      </c>
      <c r="B77" s="99"/>
      <c r="C77" s="108">
        <f>IF(F17=0,"0",C76*(D14+G14)/2)/10000</f>
        <v>1.2950423813045655</v>
      </c>
      <c r="D77" s="99" t="s">
        <v>174</v>
      </c>
      <c r="E77" s="57"/>
      <c r="F77" s="72"/>
      <c r="G77" s="116"/>
      <c r="H77" s="74"/>
      <c r="J77" s="72"/>
      <c r="L77" s="74"/>
    </row>
    <row r="78" spans="1:12" x14ac:dyDescent="0.25">
      <c r="A78" s="97"/>
      <c r="B78" s="97"/>
      <c r="C78" s="97"/>
      <c r="G78" s="116"/>
      <c r="H78" s="74"/>
      <c r="I78" s="97"/>
      <c r="J78" s="72"/>
      <c r="L78" s="74"/>
    </row>
    <row r="79" spans="1:12" ht="13.5" x14ac:dyDescent="0.25">
      <c r="A79" s="250" t="s">
        <v>25</v>
      </c>
      <c r="B79" s="251"/>
      <c r="C79" s="251"/>
      <c r="D79" s="57"/>
      <c r="F79" s="72"/>
      <c r="G79" s="117"/>
      <c r="H79" s="74"/>
      <c r="J79" s="72"/>
      <c r="L79" s="74"/>
    </row>
    <row r="80" spans="1:12" ht="14.25" x14ac:dyDescent="0.25">
      <c r="A80" s="99" t="s">
        <v>26</v>
      </c>
      <c r="B80" s="97"/>
      <c r="C80" s="108">
        <f>IF(H17=0,"0",H17*(G14+I14)/2)/10000</f>
        <v>0.91874999999999996</v>
      </c>
      <c r="D80" s="99" t="s">
        <v>174</v>
      </c>
      <c r="F80" s="57"/>
      <c r="G80" s="116"/>
      <c r="H80" s="57"/>
      <c r="I80" s="57"/>
      <c r="J80" s="57"/>
    </row>
    <row r="81" spans="1:13" x14ac:dyDescent="0.25">
      <c r="A81" s="99" t="s">
        <v>28</v>
      </c>
      <c r="B81" s="97"/>
      <c r="C81" s="108">
        <f>IF(I14=0,"0",H11*(G14+2*I14)/3/(G14+I14)+(G14+I14-G14*I14/(G14+I14))/6+C11+F11)</f>
        <v>38.180272108843532</v>
      </c>
      <c r="D81" s="68" t="s">
        <v>171</v>
      </c>
      <c r="E81" s="57"/>
      <c r="F81" s="57"/>
      <c r="G81" s="57"/>
      <c r="H81" s="57"/>
      <c r="I81" s="57"/>
      <c r="J81" s="57"/>
    </row>
    <row r="82" spans="1:13" x14ac:dyDescent="0.25">
      <c r="A82" s="99" t="s">
        <v>126</v>
      </c>
      <c r="B82" s="97"/>
      <c r="C82" s="108">
        <f>IF(G14=0,0,(2/3*(G14+(I14-((G14*I14)/(G14+I14))))))</f>
        <v>125.37414965986393</v>
      </c>
      <c r="D82" s="68" t="s">
        <v>171</v>
      </c>
      <c r="E82" s="57"/>
      <c r="F82" s="57"/>
      <c r="G82" s="57"/>
      <c r="H82" s="57"/>
      <c r="I82" s="57"/>
      <c r="J82" s="57"/>
    </row>
    <row r="83" spans="1:13" s="97" customFormat="1" x14ac:dyDescent="0.25">
      <c r="A83" s="99" t="s">
        <v>123</v>
      </c>
      <c r="C83" s="108">
        <f>IF(H11=0,0,((H11*(G14+2*I14))/(3*(G14+I14))))</f>
        <v>6.8367346938775508</v>
      </c>
      <c r="D83" s="97" t="s">
        <v>171</v>
      </c>
      <c r="F83" s="68"/>
      <c r="G83" s="99"/>
      <c r="H83" s="57"/>
      <c r="I83" s="57"/>
      <c r="J83" s="57"/>
      <c r="K83" s="68"/>
      <c r="L83" s="68"/>
      <c r="M83" s="68"/>
    </row>
    <row r="84" spans="1:13" x14ac:dyDescent="0.25">
      <c r="A84" s="99" t="s">
        <v>155</v>
      </c>
      <c r="B84" s="97"/>
      <c r="C84" s="176">
        <f>IF(H17=0,0,ATAN(H11/H17)*(180/(PI())))</f>
        <v>11.309932474020215</v>
      </c>
      <c r="D84" s="97" t="s">
        <v>156</v>
      </c>
      <c r="E84" s="72"/>
      <c r="K84" s="113"/>
    </row>
    <row r="85" spans="1:13" x14ac:dyDescent="0.25">
      <c r="A85" s="99" t="s">
        <v>124</v>
      </c>
      <c r="B85" s="97"/>
      <c r="C85" s="108">
        <f>IF(G14=I14,C17+F17+H17/2,(C17+F17+H17*((G14-C82)/(G14-I14))))</f>
        <v>714.18367346938771</v>
      </c>
      <c r="D85" s="97" t="s">
        <v>171</v>
      </c>
      <c r="E85" s="72"/>
      <c r="K85" s="113"/>
    </row>
    <row r="86" spans="1:13" x14ac:dyDescent="0.25">
      <c r="A86" s="99" t="s">
        <v>166</v>
      </c>
      <c r="B86" s="97"/>
      <c r="C86" s="108">
        <f>IF(Wing!H17=0,0,((Wing!H17)^2-('Wing Dihedral'!H12-'Wing Dihedral'!G13)^2)^0.5)</f>
        <v>74.268415224777755</v>
      </c>
      <c r="D86" s="97" t="s">
        <v>171</v>
      </c>
      <c r="E86" s="72"/>
      <c r="K86" s="113"/>
    </row>
    <row r="87" spans="1:13" ht="14.25" x14ac:dyDescent="0.25">
      <c r="A87" s="99" t="s">
        <v>167</v>
      </c>
      <c r="B87" s="97"/>
      <c r="C87" s="108">
        <f>IF(H17=0,"0",C86*(G14+I14)/2)/10000</f>
        <v>0.90978808650352749</v>
      </c>
      <c r="D87" s="99" t="s">
        <v>174</v>
      </c>
      <c r="G87" s="99"/>
      <c r="H87" s="57"/>
      <c r="I87" s="57"/>
      <c r="J87" s="57"/>
    </row>
    <row r="88" spans="1:13" x14ac:dyDescent="0.25">
      <c r="A88" s="97"/>
      <c r="B88" s="97"/>
      <c r="C88" s="97"/>
      <c r="F88" s="97"/>
      <c r="G88" s="99"/>
      <c r="H88" s="97"/>
      <c r="I88" s="92"/>
      <c r="J88" s="92"/>
      <c r="K88" s="97"/>
      <c r="L88" s="97"/>
      <c r="M88" s="97"/>
    </row>
    <row r="89" spans="1:13" x14ac:dyDescent="0.25">
      <c r="A89" s="250" t="s">
        <v>102</v>
      </c>
      <c r="B89" s="251"/>
      <c r="C89" s="251"/>
      <c r="D89" s="57"/>
    </row>
    <row r="90" spans="1:13" ht="14.25" x14ac:dyDescent="0.25">
      <c r="A90" s="99" t="s">
        <v>103</v>
      </c>
      <c r="B90" s="97"/>
      <c r="C90" s="108">
        <f>IF(J17=0,"0",J17*(I14+K15)/2)/10000</f>
        <v>0</v>
      </c>
      <c r="D90" s="99" t="s">
        <v>174</v>
      </c>
      <c r="E90" s="57"/>
    </row>
    <row r="91" spans="1:13" x14ac:dyDescent="0.25">
      <c r="A91" s="99" t="s">
        <v>28</v>
      </c>
      <c r="B91" s="97"/>
      <c r="C91" s="108" t="str">
        <f>IF(K15=0,"0",J12*(I14+2*K15)/3/(I14+K15)+(I14+K15-I14*K15/(I14+K15))/6+C11+F11+H11)</f>
        <v>0</v>
      </c>
      <c r="D91" s="68" t="s">
        <v>171</v>
      </c>
      <c r="E91" s="57"/>
    </row>
    <row r="92" spans="1:13" s="97" customFormat="1" x14ac:dyDescent="0.25">
      <c r="A92" s="99" t="s">
        <v>126</v>
      </c>
      <c r="C92" s="108">
        <f>IF(I14=0,0,(2/3*(I14+(K15-((I14*K15)/(I14+K15))))))</f>
        <v>60</v>
      </c>
      <c r="D92" s="68" t="s">
        <v>171</v>
      </c>
      <c r="E92" s="99"/>
      <c r="F92" s="68"/>
      <c r="G92" s="68"/>
      <c r="H92" s="68"/>
      <c r="I92" s="68"/>
      <c r="J92" s="68"/>
      <c r="K92" s="68"/>
      <c r="L92" s="68"/>
      <c r="M92" s="68"/>
    </row>
    <row r="93" spans="1:13" s="97" customFormat="1" ht="12.75" customHeight="1" x14ac:dyDescent="0.25">
      <c r="A93" s="99" t="s">
        <v>123</v>
      </c>
      <c r="C93" s="108">
        <f>IF(J12=0,0,((J12*(I14+2*K15))/(3*(I14+K15))))</f>
        <v>0</v>
      </c>
      <c r="D93" s="68" t="s">
        <v>171</v>
      </c>
      <c r="E93" s="109"/>
      <c r="F93" s="68"/>
      <c r="G93" s="68"/>
      <c r="H93" s="68"/>
      <c r="I93" s="68"/>
      <c r="J93" s="68"/>
      <c r="K93" s="68"/>
      <c r="L93" s="68"/>
      <c r="M93" s="68"/>
    </row>
    <row r="94" spans="1:13" x14ac:dyDescent="0.25">
      <c r="A94" s="99" t="s">
        <v>155</v>
      </c>
      <c r="B94" s="97"/>
      <c r="C94" s="176">
        <f>IF(J17=0,0,ATAN(J12/J17)*(180/(PI())))</f>
        <v>0</v>
      </c>
      <c r="D94" s="97" t="s">
        <v>156</v>
      </c>
      <c r="E94" s="72"/>
      <c r="K94" s="113"/>
    </row>
    <row r="95" spans="1:13" x14ac:dyDescent="0.25">
      <c r="A95" s="99" t="s">
        <v>124</v>
      </c>
      <c r="B95" s="97"/>
      <c r="C95" s="95">
        <f>IF(I14=K15,C17+F17+H17+J17/2,(C17+F17+H17+J17*((I14-C92)/(I14-K15))))</f>
        <v>755</v>
      </c>
      <c r="D95" s="97" t="s">
        <v>171</v>
      </c>
      <c r="F95" s="97"/>
      <c r="G95" s="97"/>
      <c r="H95" s="97"/>
      <c r="I95" s="97"/>
      <c r="J95" s="97"/>
      <c r="K95" s="97"/>
      <c r="L95" s="97"/>
      <c r="M95" s="97"/>
    </row>
    <row r="96" spans="1:13" x14ac:dyDescent="0.25">
      <c r="A96" s="99" t="s">
        <v>166</v>
      </c>
      <c r="B96" s="97"/>
      <c r="C96" s="108">
        <f>IF(J17=0,0,((J17)^2-('Wing Dihedral'!I11-'Wing Dihedral'!H12)^2)^0.5)</f>
        <v>0</v>
      </c>
      <c r="D96" s="97" t="s">
        <v>171</v>
      </c>
      <c r="F96" s="97"/>
      <c r="G96" s="97"/>
      <c r="H96" s="97"/>
      <c r="I96" s="97"/>
      <c r="J96" s="97"/>
      <c r="K96" s="97"/>
      <c r="L96" s="97"/>
      <c r="M96" s="97"/>
    </row>
    <row r="97" spans="1:13" ht="14.25" x14ac:dyDescent="0.25">
      <c r="A97" s="99" t="s">
        <v>167</v>
      </c>
      <c r="C97" s="108">
        <f>IF(J17=0,"0",C96*(I14+K15)/2)/10000</f>
        <v>0</v>
      </c>
      <c r="D97" s="99" t="s">
        <v>174</v>
      </c>
    </row>
    <row r="101" spans="1:13" s="97" customFormat="1" x14ac:dyDescent="0.25">
      <c r="A101" s="68"/>
      <c r="B101" s="68"/>
      <c r="C101" s="68"/>
      <c r="D101" s="68"/>
      <c r="F101" s="68"/>
      <c r="G101" s="68"/>
      <c r="H101" s="68"/>
      <c r="I101" s="68"/>
      <c r="J101" s="68"/>
      <c r="K101" s="68"/>
      <c r="L101" s="68"/>
      <c r="M101" s="68"/>
    </row>
    <row r="103" spans="1:13" x14ac:dyDescent="0.25">
      <c r="F103" s="97"/>
      <c r="G103" s="97"/>
      <c r="H103" s="97"/>
      <c r="I103" s="97"/>
      <c r="J103" s="97"/>
      <c r="K103" s="97"/>
      <c r="L103" s="97"/>
      <c r="M103" s="97"/>
    </row>
  </sheetData>
  <mergeCells count="10">
    <mergeCell ref="L45:M45"/>
    <mergeCell ref="A89:C89"/>
    <mergeCell ref="A69:C69"/>
    <mergeCell ref="B20:C20"/>
    <mergeCell ref="A79:C79"/>
    <mergeCell ref="B24:C24"/>
    <mergeCell ref="A59:C59"/>
    <mergeCell ref="A34:C34"/>
    <mergeCell ref="B23:D23"/>
    <mergeCell ref="F43:L43"/>
  </mergeCells>
  <phoneticPr fontId="0" type="noConversion"/>
  <printOptions horizontalCentered="1" gridLinesSet="0"/>
  <pageMargins left="0.33" right="0.33" top="0.25" bottom="0.22" header="0.17" footer="0.17"/>
  <pageSetup scale="77" orientation="landscape"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8" transitionEvaluation="1"/>
  <dimension ref="A8:AH76"/>
  <sheetViews>
    <sheetView showGridLines="0" topLeftCell="A8" zoomScaleNormal="100" workbookViewId="0">
      <selection activeCell="C18" sqref="C18"/>
    </sheetView>
  </sheetViews>
  <sheetFormatPr defaultColWidth="10.625" defaultRowHeight="12.75" x14ac:dyDescent="0.2"/>
  <cols>
    <col min="1" max="1" width="3.5" style="2" customWidth="1"/>
    <col min="2" max="2" width="11" style="2" customWidth="1"/>
    <col min="3" max="3" width="15" style="2" customWidth="1"/>
    <col min="4" max="4" width="11.375" style="2" customWidth="1"/>
    <col min="5" max="5" width="10.625" style="2" customWidth="1"/>
    <col min="6" max="7" width="10.625" style="13" customWidth="1"/>
    <col min="8" max="9" width="10.625" style="2" customWidth="1"/>
    <col min="10" max="10" width="10.625" style="2"/>
    <col min="11" max="34" width="10.625" style="13"/>
    <col min="35" max="16384" width="10.625" style="2"/>
  </cols>
  <sheetData>
    <row r="8" spans="1:34" ht="16.5" customHeight="1" x14ac:dyDescent="0.35">
      <c r="A8" s="11"/>
      <c r="E8" s="19"/>
      <c r="F8" s="4"/>
    </row>
    <row r="9" spans="1:34" ht="12.75" customHeight="1" x14ac:dyDescent="0.25">
      <c r="B9" s="13"/>
      <c r="D9" s="13"/>
      <c r="E9" s="13"/>
      <c r="G9" s="20"/>
      <c r="I9" s="13"/>
      <c r="J9" s="13"/>
      <c r="Z9" s="2"/>
      <c r="AA9" s="2"/>
      <c r="AB9" s="2"/>
      <c r="AC9" s="2"/>
      <c r="AD9" s="2"/>
      <c r="AE9" s="2"/>
      <c r="AF9" s="2"/>
      <c r="AG9" s="2"/>
      <c r="AH9" s="2"/>
    </row>
    <row r="10" spans="1:34" ht="12.75" customHeight="1" x14ac:dyDescent="0.2">
      <c r="B10" s="13"/>
      <c r="C10" s="14" t="s">
        <v>317</v>
      </c>
      <c r="D10" s="13"/>
      <c r="E10" s="13"/>
      <c r="H10" s="13"/>
      <c r="I10" s="13"/>
      <c r="J10" s="13"/>
      <c r="Z10" s="2"/>
      <c r="AA10" s="2"/>
      <c r="AB10" s="2"/>
      <c r="AC10" s="2"/>
      <c r="AD10" s="2"/>
      <c r="AE10" s="2"/>
      <c r="AF10" s="2"/>
      <c r="AG10" s="2"/>
      <c r="AH10" s="2"/>
    </row>
    <row r="11" spans="1:34" ht="12.75" customHeight="1" x14ac:dyDescent="0.2">
      <c r="B11" s="21"/>
      <c r="C11" s="41">
        <v>55</v>
      </c>
      <c r="D11" s="13"/>
      <c r="E11" s="13"/>
      <c r="H11" s="13"/>
      <c r="I11" s="13"/>
      <c r="J11" s="13"/>
      <c r="Z11" s="2"/>
      <c r="AA11" s="2"/>
      <c r="AB11" s="2"/>
      <c r="AC11" s="2"/>
      <c r="AD11" s="2"/>
      <c r="AE11" s="2"/>
      <c r="AF11" s="2"/>
      <c r="AG11" s="2"/>
      <c r="AH11" s="2"/>
    </row>
    <row r="12" spans="1:34" ht="12.75" customHeight="1" x14ac:dyDescent="0.2">
      <c r="B12" s="22"/>
      <c r="C12" s="13"/>
      <c r="D12" s="13"/>
      <c r="H12" s="13" t="s">
        <v>0</v>
      </c>
      <c r="I12" s="13" t="s">
        <v>1</v>
      </c>
      <c r="J12" s="13"/>
      <c r="Z12" s="2"/>
      <c r="AA12" s="2"/>
      <c r="AB12" s="2"/>
      <c r="AC12" s="2"/>
      <c r="AD12" s="2"/>
      <c r="AE12" s="2"/>
      <c r="AF12" s="2"/>
      <c r="AG12" s="2"/>
      <c r="AH12" s="2"/>
    </row>
    <row r="13" spans="1:34" ht="12.75" customHeight="1" x14ac:dyDescent="0.2">
      <c r="B13" s="23" t="s">
        <v>318</v>
      </c>
      <c r="C13" s="13"/>
      <c r="D13" s="13"/>
      <c r="E13" s="14" t="s">
        <v>322</v>
      </c>
      <c r="H13" s="13">
        <v>0</v>
      </c>
      <c r="I13" s="13">
        <v>0</v>
      </c>
      <c r="J13" s="13"/>
      <c r="Z13" s="2"/>
      <c r="AA13" s="2"/>
      <c r="AB13" s="2"/>
      <c r="AC13" s="2"/>
      <c r="AD13" s="2"/>
      <c r="AE13" s="2"/>
      <c r="AF13" s="2"/>
      <c r="AG13" s="2"/>
      <c r="AH13" s="2"/>
    </row>
    <row r="14" spans="1:34" ht="12.75" customHeight="1" x14ac:dyDescent="0.2">
      <c r="B14" s="42">
        <v>160</v>
      </c>
      <c r="C14" s="13"/>
      <c r="D14" s="13"/>
      <c r="E14" s="41">
        <v>60</v>
      </c>
      <c r="H14" s="13">
        <v>0</v>
      </c>
      <c r="I14" s="13">
        <f>B14</f>
        <v>160</v>
      </c>
      <c r="J14" s="13"/>
      <c r="Z14" s="2"/>
      <c r="AA14" s="2"/>
      <c r="AB14" s="2"/>
      <c r="AC14" s="2"/>
      <c r="AD14" s="2"/>
      <c r="AE14" s="2"/>
      <c r="AF14" s="2"/>
      <c r="AG14" s="2"/>
      <c r="AH14" s="2"/>
    </row>
    <row r="15" spans="1:34" x14ac:dyDescent="0.2">
      <c r="B15" s="24"/>
      <c r="C15" s="15"/>
      <c r="D15" s="25"/>
      <c r="E15" s="13"/>
      <c r="H15" s="13">
        <f>C17</f>
        <v>230</v>
      </c>
      <c r="I15" s="13">
        <f>B14-C11</f>
        <v>105</v>
      </c>
      <c r="J15" s="13"/>
      <c r="Z15" s="2"/>
      <c r="AA15" s="2"/>
      <c r="AB15" s="2"/>
      <c r="AC15" s="2"/>
      <c r="AD15" s="2"/>
      <c r="AE15" s="2"/>
      <c r="AF15" s="2"/>
      <c r="AG15" s="2"/>
      <c r="AH15" s="2"/>
    </row>
    <row r="16" spans="1:34" x14ac:dyDescent="0.2">
      <c r="B16" s="13"/>
      <c r="C16" s="14" t="s">
        <v>323</v>
      </c>
      <c r="D16" s="13"/>
      <c r="E16" s="13"/>
      <c r="H16" s="13">
        <f>C17</f>
        <v>230</v>
      </c>
      <c r="I16" s="13">
        <f>I15-E14</f>
        <v>45</v>
      </c>
      <c r="J16" s="13"/>
      <c r="Z16" s="2"/>
      <c r="AA16" s="2"/>
      <c r="AB16" s="2"/>
      <c r="AC16" s="2"/>
      <c r="AD16" s="2"/>
      <c r="AE16" s="2"/>
      <c r="AF16" s="2"/>
      <c r="AG16" s="2"/>
      <c r="AH16" s="2"/>
    </row>
    <row r="17" spans="2:34" x14ac:dyDescent="0.2">
      <c r="B17" s="13"/>
      <c r="C17" s="41">
        <v>230</v>
      </c>
      <c r="D17" s="13"/>
      <c r="E17" s="13"/>
      <c r="H17" s="13">
        <v>0</v>
      </c>
      <c r="I17" s="13">
        <v>0</v>
      </c>
      <c r="J17" s="13"/>
      <c r="Z17" s="2"/>
      <c r="AA17" s="2"/>
      <c r="AB17" s="2"/>
      <c r="AC17" s="2"/>
      <c r="AD17" s="2"/>
      <c r="AE17" s="2"/>
      <c r="AF17" s="2"/>
      <c r="AG17" s="2"/>
      <c r="AH17" s="2"/>
    </row>
    <row r="18" spans="2:34" x14ac:dyDescent="0.2">
      <c r="B18" s="13"/>
      <c r="C18" s="13"/>
      <c r="D18" s="13"/>
      <c r="E18" s="13"/>
      <c r="H18" s="13"/>
      <c r="I18" s="13"/>
      <c r="J18" s="13"/>
      <c r="Z18" s="2"/>
      <c r="AA18" s="2"/>
      <c r="AB18" s="2"/>
      <c r="AC18" s="2"/>
      <c r="AD18" s="2"/>
      <c r="AE18" s="2"/>
      <c r="AF18" s="2"/>
      <c r="AG18" s="2"/>
      <c r="AH18" s="2"/>
    </row>
    <row r="19" spans="2:34" x14ac:dyDescent="0.2">
      <c r="B19" s="13"/>
      <c r="C19" s="13"/>
      <c r="D19" s="13"/>
      <c r="E19" s="13"/>
      <c r="H19" s="13">
        <v>0</v>
      </c>
      <c r="I19" s="13">
        <f>B14-D33</f>
        <v>107.27272727272728</v>
      </c>
      <c r="J19" s="13"/>
      <c r="Z19" s="2"/>
      <c r="AA19" s="2"/>
      <c r="AB19" s="2"/>
      <c r="AC19" s="2"/>
      <c r="AD19" s="2"/>
      <c r="AE19" s="2"/>
      <c r="AF19" s="2"/>
      <c r="AG19" s="2"/>
      <c r="AH19" s="2"/>
    </row>
    <row r="20" spans="2:34" x14ac:dyDescent="0.2">
      <c r="B20" s="13"/>
      <c r="C20" s="13"/>
      <c r="D20" s="13"/>
      <c r="E20" s="13"/>
      <c r="H20" s="13"/>
      <c r="I20" s="13"/>
      <c r="J20" s="13"/>
      <c r="Z20" s="2"/>
      <c r="AA20" s="2"/>
      <c r="AB20" s="2"/>
      <c r="AC20" s="2"/>
      <c r="AD20" s="2"/>
      <c r="AE20" s="2"/>
      <c r="AF20" s="2"/>
      <c r="AG20" s="2"/>
      <c r="AH20" s="2"/>
    </row>
    <row r="21" spans="2:34" x14ac:dyDescent="0.2">
      <c r="B21" s="13"/>
      <c r="C21" s="13"/>
      <c r="D21" s="13"/>
      <c r="E21" s="13"/>
      <c r="F21" s="26" t="s">
        <v>121</v>
      </c>
      <c r="H21" s="13"/>
      <c r="I21" s="13"/>
      <c r="J21" s="13"/>
      <c r="Z21" s="2"/>
      <c r="AA21" s="2"/>
      <c r="AB21" s="2"/>
      <c r="AC21" s="2"/>
      <c r="AD21" s="2"/>
      <c r="AE21" s="2"/>
      <c r="AF21" s="2"/>
      <c r="AG21" s="2"/>
      <c r="AH21" s="2"/>
    </row>
    <row r="22" spans="2:34" ht="15.75" x14ac:dyDescent="0.25">
      <c r="B22" s="38" t="s">
        <v>49</v>
      </c>
      <c r="C22"/>
      <c r="D22"/>
      <c r="E22"/>
      <c r="F22" s="26"/>
      <c r="H22" s="13"/>
      <c r="I22" s="13"/>
      <c r="J22" s="13"/>
      <c r="Z22" s="2"/>
      <c r="AA22" s="2"/>
      <c r="AB22" s="2"/>
      <c r="AC22" s="2"/>
      <c r="AD22" s="2"/>
      <c r="AE22" s="2"/>
      <c r="AF22" s="2"/>
      <c r="AG22" s="2"/>
      <c r="AH22" s="2"/>
    </row>
    <row r="23" spans="2:34" x14ac:dyDescent="0.2">
      <c r="B23" s="1" t="s">
        <v>9</v>
      </c>
      <c r="D23" s="188">
        <f>2*C17</f>
        <v>460</v>
      </c>
      <c r="E23" s="1" t="s">
        <v>171</v>
      </c>
      <c r="F23" s="236" t="s">
        <v>265</v>
      </c>
      <c r="G23" s="237"/>
      <c r="H23" s="13"/>
      <c r="I23" s="13"/>
      <c r="J23" s="13"/>
      <c r="Z23" s="2"/>
      <c r="AA23" s="2"/>
      <c r="AB23" s="2"/>
      <c r="AC23" s="2"/>
      <c r="AD23" s="2"/>
      <c r="AE23" s="2"/>
      <c r="AF23" s="2"/>
      <c r="AG23" s="2"/>
      <c r="AH23" s="2"/>
    </row>
    <row r="24" spans="2:34" ht="14.25" x14ac:dyDescent="0.2">
      <c r="B24" s="1" t="s">
        <v>10</v>
      </c>
      <c r="D24" s="188">
        <f>D23*D25/10000</f>
        <v>5.0599999999999996</v>
      </c>
      <c r="E24" s="99" t="s">
        <v>174</v>
      </c>
      <c r="F24" s="236" t="s">
        <v>337</v>
      </c>
      <c r="G24" s="237"/>
      <c r="H24" s="13"/>
      <c r="I24" s="13"/>
      <c r="J24" s="13"/>
      <c r="Z24" s="2"/>
      <c r="AA24" s="2"/>
      <c r="AB24" s="2"/>
      <c r="AC24" s="2"/>
      <c r="AD24" s="2"/>
      <c r="AE24" s="2"/>
      <c r="AF24" s="2"/>
      <c r="AG24" s="2"/>
      <c r="AH24" s="2"/>
    </row>
    <row r="25" spans="2:34" x14ac:dyDescent="0.2">
      <c r="B25" s="1" t="s">
        <v>12</v>
      </c>
      <c r="D25" s="188">
        <f>IF(C17=0,0,D32/C17)*10000</f>
        <v>110</v>
      </c>
      <c r="E25" s="1" t="s">
        <v>171</v>
      </c>
      <c r="F25" s="236" t="s">
        <v>338</v>
      </c>
      <c r="G25" s="237"/>
      <c r="H25" s="13"/>
      <c r="I25" s="13"/>
      <c r="J25" s="13"/>
      <c r="Z25" s="2"/>
      <c r="AA25" s="2"/>
      <c r="AB25" s="2"/>
      <c r="AC25" s="2"/>
      <c r="AD25" s="2"/>
      <c r="AE25" s="2"/>
      <c r="AF25" s="2"/>
      <c r="AG25" s="2"/>
      <c r="AH25" s="2"/>
    </row>
    <row r="26" spans="2:34" x14ac:dyDescent="0.2">
      <c r="B26" s="194" t="s">
        <v>127</v>
      </c>
      <c r="D26" s="188">
        <f>2/3*(B14+(E14-((B14*E14)/(B14+E14))))</f>
        <v>117.57575757575758</v>
      </c>
      <c r="E26" s="194" t="s">
        <v>171</v>
      </c>
      <c r="F26" s="236" t="s">
        <v>339</v>
      </c>
      <c r="G26" s="237"/>
      <c r="H26" s="13"/>
      <c r="I26" s="13"/>
      <c r="J26" s="13"/>
      <c r="Z26" s="2"/>
      <c r="AA26" s="2"/>
      <c r="AB26" s="2"/>
      <c r="AC26" s="2"/>
      <c r="AD26" s="2"/>
      <c r="AE26" s="2"/>
      <c r="AF26" s="2"/>
      <c r="AG26" s="2"/>
      <c r="AH26" s="2"/>
    </row>
    <row r="27" spans="2:34" x14ac:dyDescent="0.2">
      <c r="B27" s="193" t="s">
        <v>169</v>
      </c>
      <c r="D27" s="189">
        <f>IF(C17=0,0,D23/D25)</f>
        <v>4.1818181818181817</v>
      </c>
      <c r="E27" s="40"/>
      <c r="F27" s="236" t="s">
        <v>340</v>
      </c>
      <c r="H27" s="13"/>
      <c r="I27" s="13"/>
      <c r="J27" s="13"/>
      <c r="Z27" s="2"/>
      <c r="AA27" s="2"/>
      <c r="AB27" s="2"/>
      <c r="AC27" s="2"/>
      <c r="AD27" s="2"/>
      <c r="AE27" s="2"/>
      <c r="AF27" s="2"/>
      <c r="AG27" s="2"/>
      <c r="AH27" s="2"/>
    </row>
    <row r="28" spans="2:34" x14ac:dyDescent="0.2">
      <c r="B28" s="193" t="s">
        <v>189</v>
      </c>
      <c r="D28" s="189">
        <f>2*D25/B14-1</f>
        <v>0.375</v>
      </c>
      <c r="E28" s="40"/>
      <c r="F28" s="236" t="s">
        <v>341</v>
      </c>
      <c r="H28" s="13"/>
      <c r="I28" s="13"/>
      <c r="J28" s="13"/>
      <c r="Z28" s="2"/>
      <c r="AA28" s="2"/>
      <c r="AB28" s="2"/>
      <c r="AC28" s="2"/>
      <c r="AD28" s="2"/>
      <c r="AE28" s="2"/>
      <c r="AF28" s="2"/>
      <c r="AG28" s="2"/>
      <c r="AH28" s="2"/>
    </row>
    <row r="29" spans="2:34" x14ac:dyDescent="0.2">
      <c r="B29" s="193" t="s">
        <v>190</v>
      </c>
      <c r="D29" s="189">
        <f>D24/Wing!C36*100</f>
        <v>20.372420734776046</v>
      </c>
      <c r="E29" s="40"/>
      <c r="F29" s="236" t="s">
        <v>342</v>
      </c>
      <c r="H29" s="13"/>
      <c r="I29" s="13"/>
      <c r="J29" s="13"/>
      <c r="Z29" s="2"/>
      <c r="AA29" s="2"/>
      <c r="AB29" s="2"/>
      <c r="AC29" s="2"/>
      <c r="AD29" s="2"/>
      <c r="AE29" s="2"/>
      <c r="AF29" s="2"/>
      <c r="AG29" s="2"/>
      <c r="AH29" s="2"/>
    </row>
    <row r="30" spans="2:34" x14ac:dyDescent="0.2">
      <c r="B30" s="10"/>
      <c r="D30" s="189"/>
      <c r="E30" s="9"/>
      <c r="F30" s="26"/>
      <c r="H30" s="13"/>
      <c r="I30" s="13"/>
      <c r="J30" s="13"/>
      <c r="Z30" s="2"/>
      <c r="AA30" s="2"/>
      <c r="AB30" s="2"/>
      <c r="AC30" s="2"/>
      <c r="AD30" s="2"/>
      <c r="AE30" s="2"/>
      <c r="AF30" s="2"/>
      <c r="AG30" s="2"/>
      <c r="AH30" s="2"/>
    </row>
    <row r="31" spans="2:34" x14ac:dyDescent="0.2">
      <c r="B31" s="28" t="s">
        <v>50</v>
      </c>
      <c r="D31" s="166"/>
      <c r="F31" s="236" t="s">
        <v>343</v>
      </c>
      <c r="H31" s="13"/>
      <c r="I31" s="13"/>
      <c r="J31" s="13"/>
      <c r="Z31" s="2"/>
      <c r="AA31" s="2"/>
      <c r="AB31" s="2"/>
      <c r="AC31" s="2"/>
      <c r="AD31" s="2"/>
      <c r="AE31" s="2"/>
      <c r="AF31" s="2"/>
      <c r="AG31" s="2"/>
      <c r="AH31" s="2"/>
    </row>
    <row r="32" spans="2:34" ht="14.25" x14ac:dyDescent="0.2">
      <c r="B32" s="1" t="s">
        <v>6</v>
      </c>
      <c r="D32" s="188">
        <f>C17*(B14+E14)/2/10000</f>
        <v>2.5299999999999998</v>
      </c>
      <c r="E32" s="99" t="s">
        <v>174</v>
      </c>
      <c r="F32" s="26"/>
      <c r="H32" s="13"/>
      <c r="I32" s="13"/>
      <c r="J32" s="13"/>
      <c r="Z32" s="2"/>
      <c r="AA32" s="2"/>
      <c r="AB32" s="2"/>
      <c r="AC32" s="2"/>
      <c r="AD32" s="2"/>
      <c r="AE32" s="2"/>
      <c r="AF32" s="2"/>
      <c r="AG32" s="2"/>
      <c r="AH32" s="2"/>
    </row>
    <row r="33" spans="1:34" x14ac:dyDescent="0.2">
      <c r="B33" s="1" t="s">
        <v>8</v>
      </c>
      <c r="D33" s="188">
        <f>IF(C17=0,0,(C11*(B14+2*E14)/3/(B14+E14)+(B14+E14-B14*E14/(B14+E14))/6))</f>
        <v>52.727272727272727</v>
      </c>
      <c r="E33" s="2" t="s">
        <v>171</v>
      </c>
      <c r="F33" s="26"/>
      <c r="H33" s="13"/>
      <c r="I33" s="13"/>
      <c r="J33" s="13"/>
      <c r="Z33" s="2"/>
      <c r="AA33" s="2"/>
      <c r="AB33" s="2"/>
      <c r="AC33" s="2"/>
      <c r="AD33" s="2"/>
      <c r="AE33" s="2"/>
      <c r="AF33" s="2"/>
      <c r="AG33" s="2"/>
      <c r="AH33" s="2"/>
    </row>
    <row r="34" spans="1:34" x14ac:dyDescent="0.2">
      <c r="B34" s="1" t="s">
        <v>13</v>
      </c>
      <c r="D34" s="188">
        <f>IF(C17=0,0,D32*D33/D24*2-D26*0.25)</f>
        <v>23.333333333333325</v>
      </c>
      <c r="E34" s="2" t="s">
        <v>171</v>
      </c>
      <c r="F34" s="26"/>
      <c r="H34" s="13"/>
      <c r="I34" s="13"/>
      <c r="J34" s="13"/>
      <c r="Z34" s="2"/>
      <c r="AA34" s="2"/>
      <c r="AB34" s="2"/>
      <c r="AC34" s="2"/>
      <c r="AD34" s="2"/>
      <c r="AE34" s="2"/>
      <c r="AF34" s="2"/>
      <c r="AG34" s="2"/>
      <c r="AH34" s="2"/>
    </row>
    <row r="35" spans="1:34" x14ac:dyDescent="0.2">
      <c r="B35" s="2" t="s">
        <v>14</v>
      </c>
      <c r="D35" s="188">
        <f>D34+D26*0.25</f>
        <v>52.72727272727272</v>
      </c>
      <c r="E35" s="2" t="s">
        <v>171</v>
      </c>
      <c r="H35" s="13"/>
      <c r="I35" s="13"/>
      <c r="J35" s="13"/>
      <c r="Z35" s="2"/>
      <c r="AA35" s="2"/>
      <c r="AB35" s="2"/>
      <c r="AC35" s="2"/>
      <c r="AD35" s="2"/>
      <c r="AE35" s="2"/>
      <c r="AF35" s="2"/>
      <c r="AG35" s="2"/>
      <c r="AH35" s="2"/>
    </row>
    <row r="36" spans="1:34" ht="14.25" x14ac:dyDescent="0.25">
      <c r="B36" s="99" t="s">
        <v>191</v>
      </c>
      <c r="C36" s="68"/>
      <c r="D36" s="176">
        <f>IF(C17=0,0,ATAN(C11/C17)*(180/(PI())))</f>
        <v>13.448615051686517</v>
      </c>
      <c r="E36" s="97" t="s">
        <v>156</v>
      </c>
      <c r="F36" s="225" t="s">
        <v>336</v>
      </c>
      <c r="G36" s="8"/>
      <c r="H36" s="27"/>
      <c r="I36" s="7"/>
      <c r="J36" s="1"/>
    </row>
    <row r="37" spans="1:34" ht="13.5" x14ac:dyDescent="0.25">
      <c r="D37" s="166"/>
      <c r="G37" s="8"/>
      <c r="H37" s="27"/>
      <c r="I37" s="7"/>
      <c r="J37" s="1"/>
    </row>
    <row r="38" spans="1:34" ht="14.25" x14ac:dyDescent="0.3">
      <c r="F38" s="5"/>
      <c r="G38" s="8"/>
      <c r="H38" s="27"/>
      <c r="I38" s="7"/>
      <c r="J38" s="1"/>
    </row>
    <row r="39" spans="1:34" s="5" customFormat="1" ht="14.25" x14ac:dyDescent="0.3">
      <c r="A39" s="2"/>
      <c r="B39" s="2"/>
      <c r="C39" s="2"/>
      <c r="D39" s="2"/>
      <c r="E39" s="2"/>
    </row>
    <row r="40" spans="1:34" s="5" customFormat="1" ht="15" customHeight="1" x14ac:dyDescent="0.3"/>
    <row r="41" spans="1:34" s="5" customFormat="1" ht="15" customHeight="1" x14ac:dyDescent="0.3"/>
    <row r="42" spans="1:34" s="5" customFormat="1" ht="15" customHeight="1" x14ac:dyDescent="0.3"/>
    <row r="43" spans="1:34" s="5" customFormat="1" ht="15" customHeight="1" x14ac:dyDescent="0.3"/>
    <row r="44" spans="1:34" s="5" customFormat="1" ht="15" customHeight="1" x14ac:dyDescent="0.3"/>
    <row r="45" spans="1:34" s="5" customFormat="1" ht="15" customHeight="1" x14ac:dyDescent="0.3"/>
    <row r="46" spans="1:34" s="5" customFormat="1" ht="15" customHeight="1" x14ac:dyDescent="0.3"/>
    <row r="47" spans="1:34" s="5" customFormat="1" ht="15" customHeight="1" x14ac:dyDescent="0.3"/>
    <row r="48" spans="1:34" s="5" customFormat="1" ht="15" customHeight="1" x14ac:dyDescent="0.3"/>
    <row r="49" spans="9:9" s="5" customFormat="1" ht="15" customHeight="1" x14ac:dyDescent="0.3"/>
    <row r="50" spans="9:9" s="5" customFormat="1" ht="15" customHeight="1" x14ac:dyDescent="0.3"/>
    <row r="51" spans="9:9" s="5" customFormat="1" ht="15" customHeight="1" x14ac:dyDescent="0.3"/>
    <row r="52" spans="9:9" s="5" customFormat="1" ht="15" customHeight="1" x14ac:dyDescent="0.3"/>
    <row r="53" spans="9:9" s="5" customFormat="1" ht="15" customHeight="1" x14ac:dyDescent="0.3"/>
    <row r="54" spans="9:9" s="5" customFormat="1" ht="15" customHeight="1" x14ac:dyDescent="0.3"/>
    <row r="55" spans="9:9" s="5" customFormat="1" ht="15" customHeight="1" x14ac:dyDescent="0.3"/>
    <row r="56" spans="9:9" s="5" customFormat="1" ht="15" customHeight="1" x14ac:dyDescent="0.3"/>
    <row r="57" spans="9:9" s="5" customFormat="1" ht="19.5" customHeight="1" x14ac:dyDescent="0.3"/>
    <row r="58" spans="9:9" s="5" customFormat="1" ht="19.5" customHeight="1" x14ac:dyDescent="0.3"/>
    <row r="59" spans="9:9" s="5" customFormat="1" ht="15" customHeight="1" x14ac:dyDescent="0.3"/>
    <row r="60" spans="9:9" s="5" customFormat="1" ht="15" customHeight="1" x14ac:dyDescent="0.3">
      <c r="I60" s="29"/>
    </row>
    <row r="61" spans="9:9" s="5" customFormat="1" ht="15" customHeight="1" x14ac:dyDescent="0.3"/>
    <row r="62" spans="9:9" s="5" customFormat="1" ht="15" customHeight="1" x14ac:dyDescent="0.3">
      <c r="I62" s="6"/>
    </row>
    <row r="63" spans="9:9" s="5" customFormat="1" ht="15" customHeight="1" x14ac:dyDescent="0.3"/>
    <row r="64" spans="9:9" s="5" customFormat="1" ht="15" customHeight="1" x14ac:dyDescent="0.3"/>
    <row r="65" spans="1:15" s="5" customFormat="1" ht="15" customHeight="1" x14ac:dyDescent="0.3"/>
    <row r="66" spans="1:15" s="5" customFormat="1" ht="15" customHeight="1" x14ac:dyDescent="0.3"/>
    <row r="67" spans="1:15" s="5" customFormat="1" ht="15" customHeight="1" x14ac:dyDescent="0.3"/>
    <row r="68" spans="1:15" s="5" customFormat="1" ht="15" customHeight="1" x14ac:dyDescent="0.3"/>
    <row r="69" spans="1:15" s="5" customFormat="1" ht="15" customHeight="1" x14ac:dyDescent="0.3"/>
    <row r="70" spans="1:15" s="5" customFormat="1" ht="15" customHeight="1" x14ac:dyDescent="0.3"/>
    <row r="71" spans="1:15" s="5" customFormat="1" ht="15" customHeight="1" x14ac:dyDescent="0.3"/>
    <row r="72" spans="1:15" s="5" customFormat="1" ht="15" customHeight="1" x14ac:dyDescent="0.3"/>
    <row r="73" spans="1:15" s="5" customFormat="1" ht="15" customHeight="1" x14ac:dyDescent="0.3"/>
    <row r="74" spans="1:15" s="5" customFormat="1" ht="15" customHeight="1" x14ac:dyDescent="0.3"/>
    <row r="75" spans="1:15" s="5" customFormat="1" ht="15" customHeight="1" x14ac:dyDescent="0.3">
      <c r="F75" s="13"/>
      <c r="K75" s="13"/>
      <c r="L75" s="13"/>
      <c r="M75" s="13"/>
      <c r="N75" s="13"/>
      <c r="O75" s="13"/>
    </row>
    <row r="76" spans="1:15" ht="14.25" x14ac:dyDescent="0.3">
      <c r="A76" s="5"/>
      <c r="B76" s="5"/>
      <c r="C76" s="5"/>
      <c r="D76" s="5"/>
      <c r="E76" s="5"/>
    </row>
  </sheetData>
  <phoneticPr fontId="0" type="noConversion"/>
  <printOptions horizontalCentered="1"/>
  <pageMargins left="0.15" right="0.25" top="1" bottom="1" header="0.5" footer="0.5"/>
  <pageSetup orientation="landscape" horizontalDpi="300"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8:I58"/>
  <sheetViews>
    <sheetView showGridLines="0" topLeftCell="A5" workbookViewId="0">
      <selection activeCell="D20" sqref="D20"/>
    </sheetView>
  </sheetViews>
  <sheetFormatPr defaultColWidth="9" defaultRowHeight="13.5" x14ac:dyDescent="0.25"/>
  <cols>
    <col min="1" max="1" width="3.625" style="117" customWidth="1"/>
    <col min="2" max="2" width="10.625" style="117" customWidth="1"/>
    <col min="3" max="3" width="15.875" style="117" customWidth="1"/>
    <col min="4" max="4" width="12.875" style="117" customWidth="1"/>
    <col min="5" max="7" width="10.625" style="117" customWidth="1"/>
    <col min="8" max="8" width="14.25" style="117" customWidth="1"/>
    <col min="9" max="9" width="10.625" style="117" customWidth="1"/>
    <col min="10" max="16384" width="9" style="117"/>
  </cols>
  <sheetData>
    <row r="8" spans="1:9" x14ac:dyDescent="0.2">
      <c r="I8" s="238" t="s">
        <v>349</v>
      </c>
    </row>
    <row r="9" spans="1:9" ht="14.25" x14ac:dyDescent="0.25">
      <c r="A9" s="68"/>
      <c r="B9" s="68"/>
      <c r="C9" s="58" t="s">
        <v>344</v>
      </c>
      <c r="D9" s="68"/>
      <c r="E9" s="68"/>
      <c r="F9" s="68"/>
      <c r="G9" s="80"/>
      <c r="H9" s="80"/>
    </row>
    <row r="10" spans="1:9" ht="14.25" x14ac:dyDescent="0.25">
      <c r="A10" s="68"/>
      <c r="B10" s="68"/>
      <c r="C10" s="47">
        <v>60</v>
      </c>
      <c r="D10" s="68"/>
      <c r="E10" s="68"/>
      <c r="F10" s="68"/>
      <c r="G10" s="83"/>
      <c r="H10" s="83"/>
    </row>
    <row r="11" spans="1:9" ht="14.25" x14ac:dyDescent="0.25">
      <c r="A11" s="68"/>
      <c r="B11" s="68"/>
      <c r="C11" s="68"/>
      <c r="D11" s="68"/>
      <c r="E11" s="68"/>
      <c r="F11" s="83" t="s">
        <v>1</v>
      </c>
      <c r="G11" s="83" t="s">
        <v>0</v>
      </c>
      <c r="H11" s="83"/>
    </row>
    <row r="12" spans="1:9" ht="14.25" x14ac:dyDescent="0.25">
      <c r="A12" s="68"/>
      <c r="B12" s="68"/>
      <c r="C12" s="68"/>
      <c r="D12" s="68"/>
      <c r="E12" s="68"/>
      <c r="F12" s="83">
        <v>0</v>
      </c>
      <c r="G12" s="83">
        <v>0</v>
      </c>
      <c r="H12" s="83"/>
    </row>
    <row r="13" spans="1:9" ht="14.25" x14ac:dyDescent="0.25">
      <c r="A13" s="68"/>
      <c r="B13" s="58" t="s">
        <v>317</v>
      </c>
      <c r="C13" s="68"/>
      <c r="D13" s="58" t="s">
        <v>348</v>
      </c>
      <c r="E13" s="58"/>
      <c r="F13" s="84">
        <f>B14</f>
        <v>90</v>
      </c>
      <c r="G13" s="84">
        <f>D14</f>
        <v>120</v>
      </c>
      <c r="H13" s="85"/>
    </row>
    <row r="14" spans="1:9" ht="14.25" x14ac:dyDescent="0.25">
      <c r="A14" s="68"/>
      <c r="B14" s="47">
        <v>90</v>
      </c>
      <c r="C14" s="68"/>
      <c r="D14" s="47">
        <v>120</v>
      </c>
      <c r="E14" s="57"/>
      <c r="F14" s="86">
        <f>F13+C10</f>
        <v>150</v>
      </c>
      <c r="G14" s="84">
        <f>D14</f>
        <v>120</v>
      </c>
      <c r="H14" s="85"/>
    </row>
    <row r="15" spans="1:9" ht="14.25" x14ac:dyDescent="0.25">
      <c r="A15" s="68"/>
      <c r="B15" s="68"/>
      <c r="C15" s="58" t="s">
        <v>345</v>
      </c>
      <c r="D15" s="68"/>
      <c r="E15" s="68"/>
      <c r="F15" s="86">
        <f>C16</f>
        <v>200</v>
      </c>
      <c r="G15" s="84">
        <v>0</v>
      </c>
      <c r="H15" s="85"/>
    </row>
    <row r="16" spans="1:9" ht="14.25" x14ac:dyDescent="0.25">
      <c r="A16" s="68"/>
      <c r="B16" s="68"/>
      <c r="C16" s="47">
        <v>200</v>
      </c>
      <c r="D16" s="68"/>
      <c r="E16" s="68"/>
      <c r="F16" s="87">
        <v>0</v>
      </c>
      <c r="G16" s="87">
        <v>0</v>
      </c>
      <c r="H16" s="85"/>
    </row>
    <row r="17" spans="1:8" ht="14.25" x14ac:dyDescent="0.25">
      <c r="A17" s="68"/>
      <c r="B17" s="68"/>
      <c r="C17" s="68"/>
      <c r="D17" s="68"/>
      <c r="E17" s="68"/>
      <c r="F17" s="86">
        <f>B19</f>
        <v>100</v>
      </c>
      <c r="G17" s="84">
        <f>-D19</f>
        <v>-88.9</v>
      </c>
      <c r="H17" s="83"/>
    </row>
    <row r="18" spans="1:8" ht="14.25" x14ac:dyDescent="0.25">
      <c r="A18" s="68"/>
      <c r="B18" s="58" t="s">
        <v>317</v>
      </c>
      <c r="C18" s="68"/>
      <c r="D18" s="58" t="s">
        <v>347</v>
      </c>
      <c r="E18" s="58"/>
      <c r="F18" s="86">
        <f>F17+C24</f>
        <v>150</v>
      </c>
      <c r="G18" s="88">
        <f>-D19</f>
        <v>-88.9</v>
      </c>
      <c r="H18" s="83"/>
    </row>
    <row r="19" spans="1:8" ht="14.25" x14ac:dyDescent="0.25">
      <c r="A19" s="68"/>
      <c r="B19" s="47">
        <v>100</v>
      </c>
      <c r="C19" s="68"/>
      <c r="D19" s="47">
        <v>88.9</v>
      </c>
      <c r="E19" s="57"/>
      <c r="F19" s="84">
        <f>C16</f>
        <v>200</v>
      </c>
      <c r="G19" s="89">
        <v>0</v>
      </c>
      <c r="H19" s="83"/>
    </row>
    <row r="20" spans="1:8" ht="14.25" x14ac:dyDescent="0.25">
      <c r="A20" s="68"/>
      <c r="B20" s="68"/>
      <c r="C20" s="68"/>
      <c r="D20" s="68"/>
      <c r="E20" s="68"/>
      <c r="F20" s="89">
        <v>0</v>
      </c>
      <c r="G20" s="89">
        <v>0</v>
      </c>
      <c r="H20" s="83"/>
    </row>
    <row r="21" spans="1:8" ht="14.25" x14ac:dyDescent="0.25">
      <c r="A21" s="68"/>
      <c r="B21" s="68"/>
      <c r="C21" s="68"/>
      <c r="D21" s="68"/>
      <c r="E21" s="68"/>
      <c r="F21" s="83"/>
      <c r="G21" s="83"/>
      <c r="H21" s="83"/>
    </row>
    <row r="22" spans="1:8" ht="14.25" x14ac:dyDescent="0.25">
      <c r="A22" s="68"/>
      <c r="B22" s="68"/>
      <c r="C22" s="68"/>
      <c r="D22" s="68"/>
      <c r="E22" s="68"/>
      <c r="F22" s="88">
        <f>D41</f>
        <v>73.577445016378107</v>
      </c>
      <c r="G22" s="83">
        <v>0</v>
      </c>
      <c r="H22" s="83"/>
    </row>
    <row r="23" spans="1:8" ht="14.25" x14ac:dyDescent="0.25">
      <c r="A23" s="68"/>
      <c r="B23" s="68"/>
      <c r="C23" s="58" t="s">
        <v>346</v>
      </c>
      <c r="D23" s="68"/>
      <c r="E23" s="68"/>
      <c r="F23" s="80"/>
      <c r="G23" s="80"/>
      <c r="H23" s="80"/>
    </row>
    <row r="24" spans="1:8" ht="14.25" x14ac:dyDescent="0.25">
      <c r="A24" s="68"/>
      <c r="B24" s="68"/>
      <c r="C24" s="47">
        <v>50</v>
      </c>
      <c r="D24" s="68"/>
      <c r="E24" s="68"/>
      <c r="F24" s="80"/>
      <c r="G24" s="80"/>
      <c r="H24" s="80"/>
    </row>
    <row r="25" spans="1:8" ht="14.25" x14ac:dyDescent="0.25">
      <c r="A25" s="68"/>
      <c r="B25" s="68"/>
      <c r="C25" s="68"/>
      <c r="D25" s="68"/>
      <c r="E25" s="68"/>
      <c r="F25" s="80"/>
      <c r="G25" s="80"/>
      <c r="H25" s="80"/>
    </row>
    <row r="26" spans="1:8" ht="14.25" x14ac:dyDescent="0.25">
      <c r="A26" s="80"/>
      <c r="B26" s="80"/>
      <c r="C26" s="80"/>
      <c r="D26" s="80"/>
      <c r="G26" s="80"/>
      <c r="H26" s="80"/>
    </row>
    <row r="27" spans="1:8" ht="14.1" customHeight="1" x14ac:dyDescent="0.25">
      <c r="A27" s="80"/>
      <c r="B27" s="80"/>
      <c r="C27" s="80"/>
      <c r="D27" s="80"/>
      <c r="E27" s="81"/>
      <c r="G27" s="80"/>
      <c r="H27" s="80"/>
    </row>
    <row r="28" spans="1:8" ht="14.1" customHeight="1" x14ac:dyDescent="0.25">
      <c r="A28" s="80"/>
      <c r="B28" s="80"/>
      <c r="C28" s="80"/>
      <c r="D28" s="80"/>
      <c r="E28" s="81" t="s">
        <v>122</v>
      </c>
      <c r="G28" s="80"/>
      <c r="H28" s="80"/>
    </row>
    <row r="29" spans="1:8" ht="14.1" customHeight="1" x14ac:dyDescent="0.25">
      <c r="A29" s="80"/>
      <c r="B29" s="80"/>
      <c r="C29" s="80"/>
      <c r="D29" s="80"/>
      <c r="E29" s="225" t="s">
        <v>350</v>
      </c>
      <c r="G29" s="80"/>
      <c r="H29" s="80"/>
    </row>
    <row r="30" spans="1:8" ht="15.75" x14ac:dyDescent="0.25">
      <c r="A30" s="80"/>
      <c r="B30" s="82" t="s">
        <v>147</v>
      </c>
      <c r="C30" s="80"/>
      <c r="D30" s="80"/>
      <c r="E30" s="81"/>
      <c r="G30" s="80"/>
      <c r="H30" s="225" t="s">
        <v>351</v>
      </c>
    </row>
    <row r="31" spans="1:8" ht="14.1" customHeight="1" x14ac:dyDescent="0.25">
      <c r="A31" s="80"/>
      <c r="B31" s="82" t="s">
        <v>137</v>
      </c>
      <c r="C31" s="80"/>
      <c r="D31" s="80"/>
      <c r="E31" s="81"/>
      <c r="G31" s="80"/>
      <c r="H31" s="225" t="s">
        <v>352</v>
      </c>
    </row>
    <row r="32" spans="1:8" ht="14.25" x14ac:dyDescent="0.25">
      <c r="A32" s="80"/>
      <c r="B32" s="80"/>
      <c r="C32" s="80"/>
      <c r="D32" s="80"/>
      <c r="E32" s="80"/>
      <c r="F32" s="80"/>
      <c r="G32" s="80"/>
      <c r="H32" s="80"/>
    </row>
    <row r="33" spans="1:8" ht="15.75" x14ac:dyDescent="0.25">
      <c r="A33" s="80"/>
      <c r="B33" s="264" t="s">
        <v>51</v>
      </c>
      <c r="C33" s="249"/>
      <c r="D33" s="249"/>
      <c r="E33" s="233" t="s">
        <v>353</v>
      </c>
      <c r="F33" s="80"/>
      <c r="G33" s="80"/>
      <c r="H33" s="80"/>
    </row>
    <row r="34" spans="1:8" ht="14.25" x14ac:dyDescent="0.25">
      <c r="A34" s="80"/>
      <c r="B34" s="99" t="s">
        <v>9</v>
      </c>
      <c r="C34" s="97"/>
      <c r="D34" s="108">
        <f>D19+D14</f>
        <v>208.9</v>
      </c>
      <c r="E34" s="72" t="s">
        <v>171</v>
      </c>
      <c r="F34" s="233" t="s">
        <v>265</v>
      </c>
      <c r="G34" s="80"/>
      <c r="H34" s="80"/>
    </row>
    <row r="35" spans="1:8" ht="14.25" x14ac:dyDescent="0.25">
      <c r="A35" s="80"/>
      <c r="B35" s="99" t="s">
        <v>10</v>
      </c>
      <c r="C35" s="97"/>
      <c r="D35" s="108">
        <f>IF(D14=0,0,D34*D36)/10000</f>
        <v>2.6712500000000001</v>
      </c>
      <c r="E35" s="99" t="s">
        <v>174</v>
      </c>
      <c r="F35" s="233" t="s">
        <v>357</v>
      </c>
      <c r="G35" s="90"/>
      <c r="H35" s="90"/>
    </row>
    <row r="36" spans="1:8" ht="14.25" x14ac:dyDescent="0.25">
      <c r="A36" s="80"/>
      <c r="B36" s="99" t="s">
        <v>12</v>
      </c>
      <c r="C36" s="97"/>
      <c r="D36" s="108">
        <f>IF(D14=0,0,(D52+D44)/(D19+D14))*10000</f>
        <v>127.8721876495931</v>
      </c>
      <c r="E36" s="72" t="s">
        <v>171</v>
      </c>
      <c r="F36" s="233" t="s">
        <v>356</v>
      </c>
      <c r="G36" s="80"/>
      <c r="H36" s="80"/>
    </row>
    <row r="37" spans="1:8" ht="14.25" x14ac:dyDescent="0.25">
      <c r="A37" s="80"/>
      <c r="B37" s="99" t="s">
        <v>127</v>
      </c>
      <c r="C37" s="97"/>
      <c r="D37" s="108">
        <f>((D44*D47)+(D52*D55))/(D44+D52)</f>
        <v>141.49742629854936</v>
      </c>
      <c r="E37" s="99" t="s">
        <v>171</v>
      </c>
      <c r="F37" s="233" t="s">
        <v>339</v>
      </c>
      <c r="G37" s="80"/>
      <c r="H37" s="80"/>
    </row>
    <row r="38" spans="1:8" ht="14.25" x14ac:dyDescent="0.25">
      <c r="A38" s="80"/>
      <c r="B38" s="99" t="s">
        <v>169</v>
      </c>
      <c r="C38" s="97"/>
      <c r="D38" s="108">
        <f>D34/D36</f>
        <v>1.6336625175479647</v>
      </c>
      <c r="E38" s="72"/>
      <c r="F38" s="233" t="s">
        <v>355</v>
      </c>
      <c r="G38" s="80"/>
      <c r="H38" s="80"/>
    </row>
    <row r="39" spans="1:8" ht="14.25" x14ac:dyDescent="0.25">
      <c r="A39" s="80"/>
      <c r="B39" s="99" t="s">
        <v>190</v>
      </c>
      <c r="C39" s="97"/>
      <c r="D39" s="108">
        <f>D35/Wing!C36*100</f>
        <v>10.754906894816308</v>
      </c>
      <c r="E39" s="72"/>
      <c r="F39" s="233" t="s">
        <v>354</v>
      </c>
      <c r="G39" s="80"/>
      <c r="H39" s="80"/>
    </row>
    <row r="40" spans="1:8" ht="14.25" x14ac:dyDescent="0.25">
      <c r="A40" s="80"/>
      <c r="B40" s="99" t="s">
        <v>13</v>
      </c>
      <c r="C40" s="97"/>
      <c r="D40" s="108">
        <f>IF(D14=0,0,(D52*D53+D44*D45)/D35-D37*0.25)</f>
        <v>38.203088441740768</v>
      </c>
      <c r="E40" s="72" t="s">
        <v>171</v>
      </c>
      <c r="F40" s="80"/>
      <c r="G40" s="80"/>
      <c r="H40" s="80"/>
    </row>
    <row r="41" spans="1:8" ht="14.25" x14ac:dyDescent="0.25">
      <c r="A41" s="80"/>
      <c r="B41" s="99" t="s">
        <v>14</v>
      </c>
      <c r="C41" s="99"/>
      <c r="D41" s="108">
        <f>D40+D37*0.25</f>
        <v>73.577445016378107</v>
      </c>
      <c r="E41" s="72" t="s">
        <v>171</v>
      </c>
      <c r="F41" s="80"/>
      <c r="G41" s="80"/>
      <c r="H41" s="80"/>
    </row>
    <row r="42" spans="1:8" ht="14.25" x14ac:dyDescent="0.25">
      <c r="A42" s="80"/>
      <c r="B42" s="99"/>
      <c r="C42" s="99"/>
      <c r="D42" s="108"/>
      <c r="E42" s="72"/>
      <c r="F42" s="80"/>
      <c r="G42" s="80"/>
      <c r="H42" s="80"/>
    </row>
    <row r="43" spans="1:8" ht="14.25" x14ac:dyDescent="0.25">
      <c r="A43" s="80"/>
      <c r="B43" s="265" t="s">
        <v>23</v>
      </c>
      <c r="C43" s="267"/>
      <c r="D43" s="267"/>
      <c r="E43" s="80"/>
      <c r="F43" s="233" t="s">
        <v>358</v>
      </c>
      <c r="G43" s="80"/>
      <c r="H43" s="80"/>
    </row>
    <row r="44" spans="1:8" ht="14.25" x14ac:dyDescent="0.25">
      <c r="A44" s="80"/>
      <c r="B44" s="99" t="s">
        <v>7</v>
      </c>
      <c r="C44" s="99"/>
      <c r="D44" s="95">
        <f>D14*(C16+C10)/2/10000</f>
        <v>1.56</v>
      </c>
      <c r="E44" s="99" t="s">
        <v>174</v>
      </c>
      <c r="F44" s="80"/>
      <c r="G44" s="80"/>
      <c r="H44" s="80"/>
    </row>
    <row r="45" spans="1:8" ht="14.25" x14ac:dyDescent="0.25">
      <c r="A45" s="80"/>
      <c r="B45" s="99" t="s">
        <v>8</v>
      </c>
      <c r="C45" s="99"/>
      <c r="D45" s="95">
        <f>IF(C16=0,0,B14*(C16+2*C10)/3/(C16+C10)+(C16+C10-C16*C10/(C16+C10))/6)</f>
        <v>72.564102564102569</v>
      </c>
      <c r="E45" s="68" t="s">
        <v>171</v>
      </c>
      <c r="F45" s="80"/>
      <c r="G45" s="80"/>
      <c r="H45" s="80"/>
    </row>
    <row r="46" spans="1:8" ht="14.25" x14ac:dyDescent="0.25">
      <c r="A46" s="80"/>
      <c r="B46" s="99" t="s">
        <v>12</v>
      </c>
      <c r="C46" s="99"/>
      <c r="D46" s="95">
        <f>D44/D14*10000</f>
        <v>130</v>
      </c>
      <c r="E46" s="97" t="s">
        <v>171</v>
      </c>
      <c r="F46" s="233" t="s">
        <v>363</v>
      </c>
      <c r="G46" s="80"/>
      <c r="H46" s="80"/>
    </row>
    <row r="47" spans="1:8" ht="14.25" x14ac:dyDescent="0.25">
      <c r="A47" s="80"/>
      <c r="B47" s="99" t="s">
        <v>192</v>
      </c>
      <c r="C47" s="99"/>
      <c r="D47" s="95">
        <f>2/3*(C16+(C10-((C16*C10)/(C16+C10))))</f>
        <v>142.56410256410254</v>
      </c>
      <c r="E47" s="97" t="s">
        <v>171</v>
      </c>
      <c r="F47" s="233" t="s">
        <v>362</v>
      </c>
      <c r="G47" s="80"/>
      <c r="H47" s="80"/>
    </row>
    <row r="48" spans="1:8" ht="14.25" x14ac:dyDescent="0.25">
      <c r="A48" s="80"/>
      <c r="B48" s="99" t="s">
        <v>189</v>
      </c>
      <c r="C48" s="99"/>
      <c r="D48" s="95">
        <f>2*D46/C16-1</f>
        <v>0.30000000000000004</v>
      </c>
      <c r="E48" s="68"/>
      <c r="F48" s="233" t="s">
        <v>360</v>
      </c>
      <c r="G48" s="80"/>
      <c r="H48" s="80"/>
    </row>
    <row r="49" spans="1:8" ht="14.25" x14ac:dyDescent="0.25">
      <c r="B49" s="99" t="s">
        <v>155</v>
      </c>
      <c r="C49" s="97"/>
      <c r="D49" s="176">
        <f>IF(D14=0,0,ATAN(B14/D14)*(180/(PI())))</f>
        <v>36.86989764584402</v>
      </c>
      <c r="E49" s="97" t="s">
        <v>156</v>
      </c>
      <c r="F49" s="233" t="s">
        <v>361</v>
      </c>
    </row>
    <row r="50" spans="1:8" x14ac:dyDescent="0.25">
      <c r="B50" s="190"/>
      <c r="C50" s="190"/>
      <c r="D50" s="190"/>
    </row>
    <row r="51" spans="1:8" ht="14.25" x14ac:dyDescent="0.25">
      <c r="A51" s="80"/>
      <c r="B51" s="265" t="s">
        <v>24</v>
      </c>
      <c r="C51" s="266"/>
      <c r="D51" s="266"/>
      <c r="E51" s="80"/>
      <c r="F51" s="233" t="s">
        <v>359</v>
      </c>
      <c r="G51" s="80"/>
      <c r="H51" s="80"/>
    </row>
    <row r="52" spans="1:8" ht="14.25" x14ac:dyDescent="0.25">
      <c r="A52" s="80"/>
      <c r="B52" s="99" t="s">
        <v>6</v>
      </c>
      <c r="C52" s="97"/>
      <c r="D52" s="192">
        <f>D19*(C24+C16)/2/10000</f>
        <v>1.1112500000000001</v>
      </c>
      <c r="E52" s="99" t="s">
        <v>174</v>
      </c>
      <c r="F52" s="233"/>
      <c r="G52" s="80"/>
      <c r="H52" s="80"/>
    </row>
    <row r="53" spans="1:8" ht="14.25" x14ac:dyDescent="0.25">
      <c r="A53" s="80"/>
      <c r="B53" s="99" t="s">
        <v>8</v>
      </c>
      <c r="C53" s="97"/>
      <c r="D53" s="108">
        <f>IF(C16=0,0,B19*(C16+2*C24)/3/(C16+C24)+(C16+C24-C16*C24/(C16+C24))/6)</f>
        <v>75</v>
      </c>
      <c r="E53" s="68" t="s">
        <v>171</v>
      </c>
      <c r="F53" s="233"/>
      <c r="G53" s="80"/>
      <c r="H53" s="80"/>
    </row>
    <row r="54" spans="1:8" ht="14.25" x14ac:dyDescent="0.25">
      <c r="A54" s="80"/>
      <c r="B54" s="99" t="s">
        <v>12</v>
      </c>
      <c r="C54" s="97"/>
      <c r="D54" s="108">
        <f>IF(D19=0,0,D52/D19*10000)</f>
        <v>125</v>
      </c>
      <c r="E54" s="97" t="s">
        <v>171</v>
      </c>
      <c r="F54" s="233" t="s">
        <v>363</v>
      </c>
      <c r="G54" s="80"/>
      <c r="H54" s="80"/>
    </row>
    <row r="55" spans="1:8" ht="14.25" x14ac:dyDescent="0.25">
      <c r="A55" s="80"/>
      <c r="B55" s="99" t="s">
        <v>192</v>
      </c>
      <c r="C55" s="97"/>
      <c r="D55" s="108">
        <f>2/3*(C16+(C24-((C16*C24)/(C16+C24))))</f>
        <v>140</v>
      </c>
      <c r="E55" s="97" t="s">
        <v>171</v>
      </c>
      <c r="F55" s="233" t="s">
        <v>362</v>
      </c>
      <c r="G55" s="80"/>
      <c r="H55" s="80"/>
    </row>
    <row r="56" spans="1:8" ht="14.25" x14ac:dyDescent="0.25">
      <c r="A56" s="80"/>
      <c r="B56" s="99" t="s">
        <v>189</v>
      </c>
      <c r="C56" s="97"/>
      <c r="D56" s="108">
        <f>IF(D19=0,0,2*D54/C16-1)</f>
        <v>0.25</v>
      </c>
      <c r="E56" s="68"/>
      <c r="F56" s="233" t="s">
        <v>360</v>
      </c>
      <c r="G56" s="80"/>
      <c r="H56" s="80"/>
    </row>
    <row r="57" spans="1:8" ht="14.25" x14ac:dyDescent="0.25">
      <c r="A57" s="80"/>
      <c r="B57" s="99" t="s">
        <v>191</v>
      </c>
      <c r="C57" s="97"/>
      <c r="D57" s="176">
        <f>IF(D19=0,0,ATAN(B19/D19)*(180/(PI())))</f>
        <v>48.362904569869755</v>
      </c>
      <c r="E57" s="97" t="s">
        <v>156</v>
      </c>
      <c r="F57" s="233" t="s">
        <v>361</v>
      </c>
      <c r="G57" s="80"/>
      <c r="H57" s="80"/>
    </row>
    <row r="58" spans="1:8" ht="14.25" x14ac:dyDescent="0.25">
      <c r="A58" s="80"/>
      <c r="B58" s="99"/>
      <c r="C58" s="97"/>
      <c r="D58" s="176"/>
      <c r="E58" s="97"/>
      <c r="F58" s="80"/>
      <c r="G58" s="80"/>
      <c r="H58" s="80"/>
    </row>
  </sheetData>
  <mergeCells count="3">
    <mergeCell ref="B33:D33"/>
    <mergeCell ref="B51:D51"/>
    <mergeCell ref="B43:D43"/>
  </mergeCells>
  <phoneticPr fontId="31" type="noConversion"/>
  <printOptions horizontalCentered="1"/>
  <pageMargins left="0.38" right="0.36" top="0.74" bottom="0.84" header="0.42" footer="0.5"/>
  <pageSetup scale="90" orientation="portrait" horizontalDpi="300"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43" transitionEvaluation="1"/>
  <dimension ref="A6:O67"/>
  <sheetViews>
    <sheetView showGridLines="0" tabSelected="1" topLeftCell="A43" zoomScaleNormal="100" workbookViewId="0">
      <selection activeCell="F49" sqref="F49"/>
    </sheetView>
  </sheetViews>
  <sheetFormatPr defaultColWidth="10.625" defaultRowHeight="12.75" x14ac:dyDescent="0.25"/>
  <cols>
    <col min="1" max="1" width="4.375" style="68" customWidth="1"/>
    <col min="2" max="2" width="29" style="68" customWidth="1"/>
    <col min="3" max="3" width="12.5" style="68" customWidth="1"/>
    <col min="4" max="4" width="9" style="68" customWidth="1"/>
    <col min="5" max="5" width="8" style="68" customWidth="1"/>
    <col min="6" max="6" width="11" style="68" customWidth="1"/>
    <col min="7" max="7" width="5.75" style="68" customWidth="1"/>
    <col min="8" max="8" width="9.5" style="68" customWidth="1"/>
    <col min="9" max="9" width="8.75" style="68" customWidth="1"/>
    <col min="10" max="10" width="15.75" style="68" customWidth="1"/>
    <col min="11" max="11" width="16.625" style="68" bestFit="1" customWidth="1"/>
    <col min="12" max="12" width="11.75" style="68" customWidth="1"/>
    <col min="13" max="13" width="16.25" style="68" bestFit="1" customWidth="1"/>
    <col min="14" max="14" width="5.625" style="68" customWidth="1"/>
    <col min="15" max="15" width="5.75" style="68" customWidth="1"/>
    <col min="16" max="16" width="6.75" style="68" customWidth="1"/>
    <col min="17" max="17" width="10.625" style="68"/>
    <col min="18" max="18" width="20.25" style="68" customWidth="1"/>
    <col min="19" max="19" width="3.625" style="68" customWidth="1"/>
    <col min="20" max="20" width="9.25" style="68" bestFit="1" customWidth="1"/>
    <col min="21" max="21" width="13.75" style="68" bestFit="1" customWidth="1"/>
    <col min="22" max="16384" width="10.625" style="68"/>
  </cols>
  <sheetData>
    <row r="6" spans="1:9" ht="28.15" customHeight="1" x14ac:dyDescent="0.25">
      <c r="C6" s="271" t="s">
        <v>364</v>
      </c>
      <c r="D6" s="271"/>
      <c r="E6" s="271"/>
      <c r="F6" s="271"/>
    </row>
    <row r="11" spans="1:9" ht="12.75" customHeight="1" x14ac:dyDescent="0.25">
      <c r="A11" s="67"/>
    </row>
    <row r="12" spans="1:9" ht="12.75" customHeight="1" x14ac:dyDescent="0.25">
      <c r="A12" s="67"/>
    </row>
    <row r="13" spans="1:9" ht="12.75" customHeight="1" x14ac:dyDescent="0.25">
      <c r="A13" s="67"/>
      <c r="B13" s="57" t="s">
        <v>0</v>
      </c>
      <c r="C13" s="57" t="s">
        <v>1</v>
      </c>
      <c r="D13" s="57" t="s">
        <v>0</v>
      </c>
      <c r="E13" s="57" t="s">
        <v>1</v>
      </c>
      <c r="F13" s="57" t="s">
        <v>0</v>
      </c>
      <c r="G13" s="57" t="s">
        <v>1</v>
      </c>
      <c r="H13" s="57" t="s">
        <v>0</v>
      </c>
      <c r="I13" s="57" t="s">
        <v>1</v>
      </c>
    </row>
    <row r="14" spans="1:9" ht="12.75" customHeight="1" x14ac:dyDescent="0.25">
      <c r="A14" s="67"/>
      <c r="B14" s="57">
        <f>Wing!F23</f>
        <v>0</v>
      </c>
      <c r="C14" s="57">
        <f>Wing!G23</f>
        <v>0</v>
      </c>
      <c r="D14" s="57">
        <f>Wing!H23</f>
        <v>600</v>
      </c>
      <c r="E14" s="57">
        <f>Wing!I23</f>
        <v>170</v>
      </c>
      <c r="F14" s="57">
        <f>Wing!J23</f>
        <v>680</v>
      </c>
      <c r="G14" s="57">
        <f>Wing!K23</f>
        <v>170</v>
      </c>
      <c r="H14" s="57">
        <f>Wing!L23</f>
        <v>755</v>
      </c>
      <c r="I14" s="57">
        <f>Wing!M23</f>
        <v>155</v>
      </c>
    </row>
    <row r="15" spans="1:9" ht="12.75" customHeight="1" x14ac:dyDescent="0.25">
      <c r="A15" s="67"/>
      <c r="B15" s="57">
        <f>Wing!F24</f>
        <v>0</v>
      </c>
      <c r="C15" s="57">
        <f>Wing!G24</f>
        <v>170</v>
      </c>
      <c r="D15" s="57">
        <f>Wing!H24</f>
        <v>680</v>
      </c>
      <c r="E15" s="57">
        <f>Wing!I24</f>
        <v>170</v>
      </c>
      <c r="F15" s="57">
        <f>Wing!J24</f>
        <v>755</v>
      </c>
      <c r="G15" s="57">
        <f>Wing!K24</f>
        <v>155</v>
      </c>
      <c r="H15" s="57">
        <f>Wing!L24</f>
        <v>755</v>
      </c>
      <c r="I15" s="57">
        <f>Wing!M24</f>
        <v>155</v>
      </c>
    </row>
    <row r="16" spans="1:9" ht="12.75" customHeight="1" x14ac:dyDescent="0.25">
      <c r="A16" s="67"/>
      <c r="B16" s="57">
        <f>Wing!F25</f>
        <v>600</v>
      </c>
      <c r="C16" s="57">
        <f>Wing!G25</f>
        <v>170</v>
      </c>
      <c r="D16" s="57">
        <f>Wing!H25</f>
        <v>680</v>
      </c>
      <c r="E16" s="57">
        <f>Wing!I25</f>
        <v>15</v>
      </c>
      <c r="F16" s="57">
        <f>Wing!J25</f>
        <v>755</v>
      </c>
      <c r="G16" s="57">
        <f>Wing!K25</f>
        <v>65</v>
      </c>
      <c r="H16" s="57">
        <f>Wing!L25</f>
        <v>755</v>
      </c>
      <c r="I16" s="57">
        <f>Wing!M25</f>
        <v>155</v>
      </c>
    </row>
    <row r="17" spans="1:11" ht="12.75" customHeight="1" x14ac:dyDescent="0.25">
      <c r="A17" s="67"/>
      <c r="B17" s="57">
        <f>Wing!F26</f>
        <v>600</v>
      </c>
      <c r="C17" s="57">
        <f>Wing!G26</f>
        <v>0</v>
      </c>
      <c r="D17" s="57">
        <f>Wing!H26</f>
        <v>600</v>
      </c>
      <c r="E17" s="57">
        <f>Wing!I26</f>
        <v>0</v>
      </c>
      <c r="F17" s="57">
        <f>Wing!J26</f>
        <v>680</v>
      </c>
      <c r="G17" s="57">
        <f>Wing!K26</f>
        <v>15</v>
      </c>
      <c r="H17" s="57">
        <f>Wing!L26</f>
        <v>755</v>
      </c>
      <c r="I17" s="57">
        <f>Wing!M26</f>
        <v>65</v>
      </c>
    </row>
    <row r="18" spans="1:11" ht="12.75" customHeight="1" x14ac:dyDescent="0.25">
      <c r="A18" s="67"/>
      <c r="B18" s="57">
        <f>Wing!F27</f>
        <v>0</v>
      </c>
      <c r="C18" s="57">
        <f>Wing!G27</f>
        <v>0</v>
      </c>
      <c r="D18" s="57"/>
      <c r="E18" s="57"/>
      <c r="F18" s="57"/>
      <c r="G18" s="57"/>
    </row>
    <row r="19" spans="1:11" ht="12.75" customHeight="1" x14ac:dyDescent="0.25">
      <c r="A19" s="67"/>
      <c r="B19" s="57"/>
      <c r="C19" s="57"/>
      <c r="D19" s="57"/>
      <c r="E19" s="57"/>
      <c r="F19" s="57"/>
      <c r="G19" s="57"/>
    </row>
    <row r="20" spans="1:11" ht="12.75" customHeight="1" x14ac:dyDescent="0.25">
      <c r="A20" s="67"/>
      <c r="B20" s="58">
        <v>0</v>
      </c>
      <c r="C20" s="59">
        <f>Wing!B14-D40</f>
        <v>106.48029022766161</v>
      </c>
      <c r="D20" s="57"/>
      <c r="E20" s="57"/>
      <c r="F20" s="57"/>
      <c r="G20" s="57"/>
    </row>
    <row r="21" spans="1:11" ht="12.75" customHeight="1" x14ac:dyDescent="0.25">
      <c r="A21" s="67"/>
      <c r="B21" s="60">
        <v>0</v>
      </c>
      <c r="C21" s="61">
        <f>C63</f>
        <v>98.184014435009374</v>
      </c>
      <c r="D21" s="57"/>
      <c r="E21" s="49">
        <v>0</v>
      </c>
      <c r="F21" s="49">
        <f>B23</f>
        <v>366.16859587317566</v>
      </c>
      <c r="G21" s="57"/>
    </row>
    <row r="22" spans="1:11" ht="12.75" customHeight="1" x14ac:dyDescent="0.25">
      <c r="A22" s="67"/>
      <c r="E22" s="49">
        <f>C21</f>
        <v>98.184014435009374</v>
      </c>
      <c r="F22" s="49">
        <f>C21</f>
        <v>98.184014435009374</v>
      </c>
    </row>
    <row r="23" spans="1:11" ht="12.75" customHeight="1" x14ac:dyDescent="0.25">
      <c r="A23" s="67"/>
      <c r="B23" s="69">
        <f>Wing!$F$31</f>
        <v>366.16859587317566</v>
      </c>
      <c r="C23" s="69">
        <f>Wing!$G$31</f>
        <v>169.49421238047307</v>
      </c>
    </row>
    <row r="24" spans="1:11" ht="12.75" customHeight="1" x14ac:dyDescent="0.25">
      <c r="A24" s="67"/>
      <c r="B24" s="69">
        <f>Wing!$F$32</f>
        <v>366.16859587317566</v>
      </c>
      <c r="C24" s="69">
        <f>Wing!$G$32</f>
        <v>3.5686965274283011</v>
      </c>
    </row>
    <row r="25" spans="1:11" ht="18" x14ac:dyDescent="0.25">
      <c r="A25" s="67"/>
    </row>
    <row r="26" spans="1:11" ht="30" customHeight="1" x14ac:dyDescent="0.25">
      <c r="A26" s="67"/>
      <c r="B26" s="70" t="s">
        <v>136</v>
      </c>
      <c r="I26" s="272"/>
      <c r="J26" s="272"/>
      <c r="K26" s="272"/>
    </row>
    <row r="27" spans="1:11" ht="18" x14ac:dyDescent="0.25">
      <c r="A27" s="67"/>
      <c r="B27" s="273" t="s">
        <v>365</v>
      </c>
      <c r="C27" s="273"/>
      <c r="D27" s="273"/>
      <c r="E27" s="273"/>
      <c r="F27" s="273"/>
      <c r="G27" s="273"/>
      <c r="H27" s="273"/>
      <c r="I27" s="239"/>
      <c r="J27" s="239"/>
      <c r="K27" s="239"/>
    </row>
    <row r="28" spans="1:11" ht="15" customHeight="1" x14ac:dyDescent="0.25">
      <c r="A28" s="67"/>
      <c r="B28" s="70" t="s">
        <v>142</v>
      </c>
    </row>
    <row r="29" spans="1:11" ht="15" customHeight="1" x14ac:dyDescent="0.25">
      <c r="A29" s="67"/>
      <c r="B29" s="233" t="s">
        <v>366</v>
      </c>
    </row>
    <row r="30" spans="1:11" ht="15" customHeight="1" x14ac:dyDescent="0.25">
      <c r="A30" s="67"/>
      <c r="B30" s="70" t="s">
        <v>143</v>
      </c>
    </row>
    <row r="31" spans="1:11" ht="15" customHeight="1" x14ac:dyDescent="0.25">
      <c r="A31" s="67"/>
      <c r="B31" s="240" t="s">
        <v>334</v>
      </c>
    </row>
    <row r="32" spans="1:11" ht="15" customHeight="1" x14ac:dyDescent="0.25">
      <c r="A32" s="67"/>
      <c r="B32" s="70" t="s">
        <v>144</v>
      </c>
    </row>
    <row r="33" spans="1:15" ht="15" customHeight="1" x14ac:dyDescent="0.25">
      <c r="A33" s="67"/>
      <c r="B33" s="233" t="s">
        <v>367</v>
      </c>
    </row>
    <row r="34" spans="1:15" ht="23.25" customHeight="1" x14ac:dyDescent="0.25">
      <c r="A34" s="67"/>
      <c r="B34" s="143" t="s">
        <v>148</v>
      </c>
    </row>
    <row r="35" spans="1:15" ht="23.25" customHeight="1" x14ac:dyDescent="0.25">
      <c r="A35" s="67"/>
      <c r="B35" s="233" t="s">
        <v>368</v>
      </c>
    </row>
    <row r="36" spans="1:15" ht="12.75" customHeight="1" x14ac:dyDescent="0.25">
      <c r="B36" s="67"/>
    </row>
    <row r="37" spans="1:15" ht="12.75" customHeight="1" x14ac:dyDescent="0.25">
      <c r="B37" s="71" t="s">
        <v>66</v>
      </c>
      <c r="C37" s="62">
        <v>0.6</v>
      </c>
      <c r="F37" s="241" t="s">
        <v>369</v>
      </c>
      <c r="G37" s="72"/>
      <c r="H37" s="49"/>
    </row>
    <row r="38" spans="1:15" ht="25.5" customHeight="1" x14ac:dyDescent="0.25">
      <c r="B38" s="57"/>
      <c r="C38" s="177" t="s">
        <v>67</v>
      </c>
      <c r="D38" s="177" t="s">
        <v>172</v>
      </c>
      <c r="E38" s="63" t="s">
        <v>3</v>
      </c>
      <c r="G38" s="57"/>
      <c r="H38" s="63"/>
      <c r="I38" s="63"/>
      <c r="J38" s="63"/>
    </row>
    <row r="39" spans="1:15" ht="12.75" customHeight="1" thickBot="1" x14ac:dyDescent="0.3">
      <c r="B39" s="99" t="s">
        <v>371</v>
      </c>
      <c r="C39" s="64">
        <f>C61-E39</f>
        <v>0</v>
      </c>
      <c r="D39" s="49">
        <f>Wing!C42+Wing!C39*E39/100</f>
        <v>71.815985564990626</v>
      </c>
      <c r="E39" s="64">
        <f>C61</f>
        <v>42.977234440916845</v>
      </c>
      <c r="F39" s="227"/>
      <c r="G39" s="72"/>
      <c r="H39" s="49"/>
      <c r="I39" s="64"/>
      <c r="J39" s="49"/>
      <c r="K39" s="73"/>
      <c r="N39" s="74"/>
      <c r="O39" s="75"/>
    </row>
    <row r="40" spans="1:15" s="57" customFormat="1" ht="22.15" customHeight="1" thickBot="1" x14ac:dyDescent="0.3">
      <c r="B40" s="71" t="s">
        <v>73</v>
      </c>
      <c r="C40" s="244">
        <v>5</v>
      </c>
      <c r="D40" s="49">
        <f>Wing!C42+Wing!C39*E40/100</f>
        <v>63.519709772338381</v>
      </c>
      <c r="E40" s="64">
        <f>C61-C40</f>
        <v>37.977234440916845</v>
      </c>
      <c r="F40" s="92"/>
      <c r="G40" s="72"/>
      <c r="H40" s="74"/>
      <c r="I40" s="68"/>
      <c r="J40" s="68"/>
      <c r="K40" s="68"/>
      <c r="L40" s="68"/>
      <c r="M40" s="68"/>
    </row>
    <row r="41" spans="1:15" s="57" customFormat="1" ht="12.75" customHeight="1" x14ac:dyDescent="0.25">
      <c r="B41" s="242" t="s">
        <v>370</v>
      </c>
      <c r="C41" s="171"/>
      <c r="D41" s="49"/>
      <c r="E41" s="64"/>
      <c r="G41" s="72"/>
      <c r="H41" s="74"/>
      <c r="I41" s="68"/>
      <c r="J41" s="68"/>
      <c r="K41" s="68"/>
      <c r="L41" s="68"/>
      <c r="M41" s="68"/>
    </row>
    <row r="42" spans="1:15" s="57" customFormat="1" ht="12.75" customHeight="1" x14ac:dyDescent="0.25">
      <c r="B42" s="71"/>
      <c r="C42" s="171"/>
      <c r="D42" s="49"/>
      <c r="E42" s="64"/>
      <c r="G42" s="72"/>
      <c r="H42" s="74"/>
      <c r="I42" s="68"/>
      <c r="J42" s="68"/>
      <c r="K42" s="68"/>
      <c r="L42" s="68"/>
      <c r="M42" s="68"/>
    </row>
    <row r="43" spans="1:15" s="57" customFormat="1" ht="12.75" customHeight="1" x14ac:dyDescent="0.25">
      <c r="B43" s="71"/>
      <c r="C43" s="171"/>
      <c r="D43" s="49"/>
      <c r="E43" s="64"/>
      <c r="G43" s="72"/>
      <c r="H43" s="74"/>
      <c r="I43" s="68"/>
      <c r="J43" s="68"/>
      <c r="K43" s="68"/>
      <c r="L43" s="68"/>
      <c r="M43" s="68"/>
    </row>
    <row r="44" spans="1:15" s="57" customFormat="1" ht="15.75" x14ac:dyDescent="0.25">
      <c r="B44" s="269" t="s">
        <v>165</v>
      </c>
      <c r="C44" s="270"/>
      <c r="D44" s="270"/>
      <c r="F44" s="72"/>
      <c r="G44" s="74"/>
      <c r="H44" s="68"/>
      <c r="I44" s="68"/>
      <c r="J44" s="68"/>
      <c r="K44" s="68"/>
      <c r="L44" s="68"/>
    </row>
    <row r="45" spans="1:15" s="57" customFormat="1" ht="14.25" x14ac:dyDescent="0.25">
      <c r="B45" s="268" t="s">
        <v>372</v>
      </c>
      <c r="C45" s="268"/>
      <c r="D45" s="173"/>
      <c r="F45" s="72"/>
      <c r="G45" s="74"/>
      <c r="H45" s="68"/>
      <c r="I45" s="68"/>
      <c r="J45" s="68"/>
      <c r="K45" s="68"/>
      <c r="L45" s="68"/>
    </row>
    <row r="46" spans="1:15" s="57" customFormat="1" ht="15.75" x14ac:dyDescent="0.25">
      <c r="B46" s="172"/>
      <c r="C46" s="173"/>
      <c r="D46" s="173"/>
      <c r="E46" s="63" t="s">
        <v>164</v>
      </c>
      <c r="F46" s="72"/>
      <c r="G46" s="74"/>
      <c r="H46" s="68"/>
      <c r="I46" s="68"/>
      <c r="J46" s="68"/>
      <c r="K46" s="68"/>
      <c r="L46" s="68"/>
    </row>
    <row r="47" spans="1:15" ht="12.75" customHeight="1" x14ac:dyDescent="0.25">
      <c r="B47" s="71" t="s">
        <v>68</v>
      </c>
      <c r="C47" s="65">
        <v>92.963999999999999</v>
      </c>
      <c r="D47" s="174" t="s">
        <v>171</v>
      </c>
      <c r="E47" s="176">
        <f>C61-((C47-Wing!C42)/Wing!C39*100)</f>
        <v>-12.745486627710434</v>
      </c>
      <c r="F47" s="99" t="s">
        <v>161</v>
      </c>
      <c r="G47" s="66"/>
      <c r="H47" s="64"/>
      <c r="I47" s="49"/>
      <c r="J47" s="57"/>
      <c r="K47" s="73"/>
      <c r="L47" s="76"/>
      <c r="M47" s="74"/>
      <c r="N47" s="69"/>
    </row>
    <row r="48" spans="1:15" ht="12.75" customHeight="1" thickBot="1" x14ac:dyDescent="0.3">
      <c r="B48" s="233" t="s">
        <v>373</v>
      </c>
      <c r="C48" s="65"/>
      <c r="D48" s="174"/>
      <c r="E48" s="176"/>
      <c r="F48" s="242" t="s">
        <v>423</v>
      </c>
      <c r="G48" s="66"/>
      <c r="H48" s="64"/>
      <c r="I48" s="49"/>
      <c r="J48" s="57"/>
      <c r="K48" s="73"/>
      <c r="L48" s="76"/>
      <c r="M48" s="74"/>
      <c r="N48" s="69"/>
    </row>
    <row r="49" spans="1:15" s="57" customFormat="1" ht="12.75" customHeight="1" thickBot="1" x14ac:dyDescent="0.3">
      <c r="B49" s="71" t="s">
        <v>65</v>
      </c>
      <c r="C49" s="243">
        <v>10</v>
      </c>
      <c r="D49" s="175" t="s">
        <v>161</v>
      </c>
      <c r="E49" s="73">
        <f>(C61-C49)</f>
        <v>32.977234440916845</v>
      </c>
      <c r="F49" s="99" t="s">
        <v>161</v>
      </c>
      <c r="G49" s="66"/>
      <c r="I49" s="49"/>
      <c r="K49" s="74"/>
      <c r="L49" s="72"/>
      <c r="M49" s="74"/>
      <c r="N49" s="68"/>
    </row>
    <row r="50" spans="1:15" s="57" customFormat="1" ht="12" customHeight="1" x14ac:dyDescent="0.25">
      <c r="B50" s="233" t="s">
        <v>374</v>
      </c>
      <c r="C50" s="64"/>
      <c r="D50" s="49"/>
      <c r="F50" s="74"/>
      <c r="G50" s="72"/>
      <c r="H50" s="66"/>
      <c r="J50" s="49"/>
      <c r="L50" s="74"/>
      <c r="M50" s="72"/>
      <c r="N50" s="74"/>
      <c r="O50" s="68"/>
    </row>
    <row r="51" spans="1:15" s="57" customFormat="1" ht="12" customHeight="1" x14ac:dyDescent="0.25">
      <c r="B51" s="71"/>
      <c r="C51" s="64"/>
      <c r="D51" s="49"/>
      <c r="F51" s="74"/>
      <c r="G51" s="72"/>
      <c r="H51" s="66"/>
      <c r="J51" s="49"/>
      <c r="L51" s="74"/>
      <c r="M51" s="72"/>
      <c r="N51" s="74"/>
      <c r="O51" s="68"/>
    </row>
    <row r="52" spans="1:15" x14ac:dyDescent="0.25">
      <c r="A52" s="72"/>
      <c r="C52" s="69"/>
      <c r="E52" s="72"/>
      <c r="F52" s="72"/>
      <c r="H52" s="66"/>
      <c r="J52" s="72"/>
      <c r="L52" s="74"/>
    </row>
    <row r="53" spans="1:15" x14ac:dyDescent="0.25">
      <c r="A53" s="72"/>
      <c r="C53" s="69"/>
      <c r="E53" s="72"/>
      <c r="F53" s="72"/>
      <c r="H53" s="66"/>
      <c r="J53" s="72"/>
      <c r="L53" s="74"/>
    </row>
    <row r="54" spans="1:15" x14ac:dyDescent="0.25">
      <c r="A54" s="77" t="s">
        <v>32</v>
      </c>
      <c r="B54" s="57"/>
      <c r="C54" s="57"/>
      <c r="D54" s="57"/>
      <c r="E54" s="57"/>
      <c r="F54" s="57"/>
      <c r="G54" s="57"/>
      <c r="H54" s="57"/>
      <c r="I54" s="57"/>
      <c r="J54" s="57"/>
      <c r="K54" s="57"/>
    </row>
    <row r="55" spans="1:15" ht="14.25" x14ac:dyDescent="0.25">
      <c r="A55" s="160" t="s">
        <v>193</v>
      </c>
      <c r="B55" s="57"/>
      <c r="C55" s="74">
        <f>(Wing!B21+('Horizontal Stabilizer'!D35)+(Wing!B14-Wing!C43))</f>
        <v>495.74010614448463</v>
      </c>
      <c r="D55" s="99" t="s">
        <v>171</v>
      </c>
      <c r="E55" s="233" t="s">
        <v>375</v>
      </c>
      <c r="F55" s="57"/>
      <c r="G55" s="57"/>
      <c r="H55" s="57"/>
      <c r="I55" s="57"/>
      <c r="J55" s="245" t="s">
        <v>376</v>
      </c>
      <c r="K55" s="57"/>
    </row>
    <row r="56" spans="1:15" x14ac:dyDescent="0.25">
      <c r="A56" s="72" t="s">
        <v>64</v>
      </c>
      <c r="B56" s="57"/>
      <c r="C56" s="78">
        <f>('Horizontal Stabilizer'!D24*C55/(Wing!C36*Wing!C38))</f>
        <v>0.61399630745412148</v>
      </c>
      <c r="D56" s="74"/>
      <c r="E56" s="241" t="s">
        <v>377</v>
      </c>
      <c r="F56" s="57"/>
      <c r="G56" s="57"/>
      <c r="H56" s="57"/>
      <c r="I56" s="57"/>
      <c r="J56" s="57"/>
      <c r="K56" s="57"/>
    </row>
    <row r="57" spans="1:15" ht="14.25" x14ac:dyDescent="0.25">
      <c r="A57" s="72" t="s">
        <v>60</v>
      </c>
      <c r="C57" s="78">
        <f>('Horizontal Stabilizer'!D27*0.095)/('Horizontal Stabilizer'!D27+18.25*0.095)</f>
        <v>6.7157154657394774E-2</v>
      </c>
      <c r="E57" s="233" t="s">
        <v>378</v>
      </c>
      <c r="F57" s="79"/>
      <c r="J57" s="57"/>
      <c r="K57" s="57"/>
      <c r="L57" s="57"/>
    </row>
    <row r="58" spans="1:15" ht="14.25" x14ac:dyDescent="0.25">
      <c r="A58" s="72" t="s">
        <v>59</v>
      </c>
      <c r="C58" s="78">
        <f>(Wing!C40*0.11)/(Wing!C40+18.25*0.11)</f>
        <v>9.026157682497099E-2</v>
      </c>
      <c r="E58" s="233" t="s">
        <v>379</v>
      </c>
      <c r="F58" s="72"/>
      <c r="G58" s="75"/>
      <c r="J58" s="57"/>
      <c r="K58" s="57"/>
      <c r="L58" s="57"/>
    </row>
    <row r="59" spans="1:15" x14ac:dyDescent="0.25">
      <c r="A59" s="72" t="s">
        <v>58</v>
      </c>
      <c r="C59" s="78">
        <f>C57/C58</f>
        <v>0.74402815704872172</v>
      </c>
      <c r="F59" s="72"/>
      <c r="G59" s="75"/>
      <c r="J59" s="245"/>
      <c r="K59" s="57"/>
      <c r="L59" s="57"/>
    </row>
    <row r="60" spans="1:15" x14ac:dyDescent="0.25">
      <c r="A60" s="72" t="s">
        <v>63</v>
      </c>
      <c r="C60" s="78">
        <f>(35*((C58)/Wing!C40))</f>
        <v>0.34413191089714307</v>
      </c>
      <c r="F60" s="72"/>
      <c r="G60" s="75"/>
      <c r="L60" s="57"/>
      <c r="M60" s="57"/>
      <c r="N60" s="57"/>
    </row>
    <row r="61" spans="1:15" x14ac:dyDescent="0.25">
      <c r="A61" s="72" t="s">
        <v>55</v>
      </c>
      <c r="B61" s="57"/>
      <c r="C61" s="74">
        <f>(0.25+(C37*C56*(C59)*(1-C60)))*100</f>
        <v>42.977234440916845</v>
      </c>
      <c r="D61" s="72" t="s">
        <v>57</v>
      </c>
      <c r="E61" s="242" t="s">
        <v>381</v>
      </c>
      <c r="F61" s="72"/>
      <c r="I61" s="57"/>
      <c r="J61" s="57"/>
      <c r="L61" s="57"/>
      <c r="M61" s="57"/>
    </row>
    <row r="62" spans="1:15" x14ac:dyDescent="0.25">
      <c r="A62" s="72" t="s">
        <v>56</v>
      </c>
      <c r="B62" s="57"/>
      <c r="C62" s="74">
        <f>Wing!C42+Wing!C39*C61/100</f>
        <v>71.815985564990626</v>
      </c>
      <c r="D62" s="72" t="s">
        <v>171</v>
      </c>
      <c r="E62" s="242" t="s">
        <v>380</v>
      </c>
      <c r="F62" s="72"/>
      <c r="G62" s="69"/>
      <c r="I62" s="57"/>
      <c r="J62" s="72"/>
      <c r="K62" s="57"/>
      <c r="L62" s="57"/>
      <c r="M62" s="57"/>
    </row>
    <row r="63" spans="1:15" x14ac:dyDescent="0.25">
      <c r="A63" s="68" t="s">
        <v>62</v>
      </c>
      <c r="B63" s="57"/>
      <c r="C63" s="74">
        <f>Wing!B14-C62</f>
        <v>98.184014435009374</v>
      </c>
      <c r="D63" s="72" t="s">
        <v>171</v>
      </c>
      <c r="E63" s="242" t="s">
        <v>380</v>
      </c>
      <c r="F63" s="72"/>
      <c r="G63" s="69"/>
      <c r="H63" s="72"/>
      <c r="I63" s="49"/>
      <c r="J63" s="57"/>
      <c r="K63" s="57"/>
      <c r="L63" s="57"/>
      <c r="M63" s="57"/>
    </row>
    <row r="64" spans="1:15" x14ac:dyDescent="0.25">
      <c r="A64" s="57"/>
      <c r="B64" s="57"/>
      <c r="C64" s="60"/>
      <c r="D64" s="57"/>
      <c r="E64" s="57"/>
      <c r="F64" s="57"/>
      <c r="G64" s="49"/>
      <c r="H64" s="57"/>
      <c r="I64" s="57"/>
      <c r="J64" s="57"/>
      <c r="K64" s="57"/>
      <c r="L64" s="57"/>
      <c r="M64" s="57"/>
    </row>
    <row r="65" spans="1:13" x14ac:dyDescent="0.25">
      <c r="A65" s="57"/>
      <c r="B65" s="57"/>
      <c r="C65" s="57"/>
      <c r="D65" s="57"/>
      <c r="E65" s="57"/>
      <c r="G65" s="57"/>
      <c r="H65" s="57"/>
      <c r="I65" s="57"/>
      <c r="J65" s="72"/>
      <c r="K65" s="57"/>
      <c r="L65" s="57"/>
      <c r="M65" s="57"/>
    </row>
    <row r="66" spans="1:13" x14ac:dyDescent="0.25">
      <c r="J66" s="72"/>
    </row>
    <row r="67" spans="1:13" x14ac:dyDescent="0.25">
      <c r="J67" s="72"/>
    </row>
  </sheetData>
  <mergeCells count="5">
    <mergeCell ref="B45:C45"/>
    <mergeCell ref="B44:D44"/>
    <mergeCell ref="C6:F6"/>
    <mergeCell ref="I26:K26"/>
    <mergeCell ref="B27:H27"/>
  </mergeCells>
  <phoneticPr fontId="0" type="noConversion"/>
  <printOptions horizontalCentered="1" gridLinesSet="0"/>
  <pageMargins left="0.33" right="0.33" top="0.41" bottom="0.5" header="0.21" footer="0.13"/>
  <pageSetup scale="95" orientation="landscape"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7:I44"/>
  <sheetViews>
    <sheetView showGridLines="0" topLeftCell="A28" zoomScaleNormal="100" workbookViewId="0">
      <selection activeCell="J66" sqref="J66"/>
    </sheetView>
  </sheetViews>
  <sheetFormatPr defaultColWidth="9" defaultRowHeight="13.5" x14ac:dyDescent="0.25"/>
  <cols>
    <col min="1" max="1" width="4.125" customWidth="1"/>
    <col min="2" max="2" width="16.5" bestFit="1" customWidth="1"/>
    <col min="6" max="6" width="6.25" customWidth="1"/>
  </cols>
  <sheetData>
    <row r="7" spans="2:9" x14ac:dyDescent="0.25">
      <c r="B7" s="3"/>
      <c r="C7" s="2"/>
      <c r="D7" s="2"/>
      <c r="E7" s="13"/>
      <c r="F7" s="2"/>
      <c r="G7" s="2"/>
      <c r="H7" s="2"/>
    </row>
    <row r="8" spans="2:9" x14ac:dyDescent="0.25">
      <c r="B8" s="3"/>
      <c r="C8" s="2"/>
      <c r="D8" s="2"/>
      <c r="E8" s="2"/>
      <c r="F8" s="2"/>
      <c r="G8" s="2"/>
      <c r="H8" s="2"/>
    </row>
    <row r="9" spans="2:9" ht="12.75" customHeight="1" x14ac:dyDescent="0.35">
      <c r="B9" s="3"/>
      <c r="C9" s="2"/>
      <c r="D9" s="12"/>
      <c r="E9" s="2"/>
      <c r="F9" s="2"/>
      <c r="G9" s="2"/>
    </row>
    <row r="10" spans="2:9" x14ac:dyDescent="0.25">
      <c r="B10" s="3"/>
      <c r="C10" s="2"/>
      <c r="D10" s="2"/>
      <c r="E10" s="2"/>
      <c r="F10" s="2"/>
      <c r="G10" s="2"/>
      <c r="I10" s="14" t="s">
        <v>382</v>
      </c>
    </row>
    <row r="11" spans="2:9" x14ac:dyDescent="0.25">
      <c r="B11" s="3"/>
      <c r="C11" s="2"/>
      <c r="D11" s="2"/>
      <c r="E11" s="2"/>
      <c r="F11" s="2"/>
      <c r="H11" s="14" t="s">
        <v>383</v>
      </c>
      <c r="I11" s="41">
        <v>0</v>
      </c>
    </row>
    <row r="12" spans="2:9" x14ac:dyDescent="0.25">
      <c r="B12" s="3"/>
      <c r="C12" s="2"/>
      <c r="D12" s="2"/>
      <c r="E12" s="2"/>
      <c r="F12" s="2"/>
      <c r="G12" s="14" t="s">
        <v>384</v>
      </c>
      <c r="H12" s="41">
        <v>20.92</v>
      </c>
    </row>
    <row r="13" spans="2:9" x14ac:dyDescent="0.25">
      <c r="B13" s="3"/>
      <c r="C13" s="2"/>
      <c r="D13" s="2"/>
      <c r="E13" s="14" t="s">
        <v>385</v>
      </c>
      <c r="F13" s="2"/>
      <c r="G13" s="41">
        <v>10.47</v>
      </c>
      <c r="H13" s="2"/>
    </row>
    <row r="14" spans="2:9" x14ac:dyDescent="0.25">
      <c r="B14" s="3"/>
      <c r="C14" s="2"/>
      <c r="D14" s="2"/>
      <c r="E14" s="41">
        <v>3.49</v>
      </c>
      <c r="F14" s="2"/>
      <c r="G14" s="2"/>
      <c r="H14" s="2"/>
    </row>
    <row r="15" spans="2:9" x14ac:dyDescent="0.25">
      <c r="B15" s="3"/>
      <c r="C15" s="2"/>
      <c r="D15" s="16" t="s">
        <v>36</v>
      </c>
      <c r="E15" s="17">
        <f>ASIN(E14/Wing!C17)*(180/(PI()))</f>
        <v>0.33327233015351326</v>
      </c>
      <c r="F15" s="18"/>
      <c r="G15" s="17">
        <f>IF(Wing!F17=0,0,ASIN((G13-E14)/Wing!F17)*(180/(PI())))</f>
        <v>5.0054211943899753</v>
      </c>
      <c r="H15" s="17">
        <f>IF(Wing!H17=0,0,ASIN((H12-G13)/Wing!H17)*(180/(PI())))</f>
        <v>8.0092709675773737</v>
      </c>
      <c r="I15" s="17">
        <f>IF(Wing!J17=0,0,ASIN((I11-H12)/Wing!J17)*(180/(PI())))</f>
        <v>0</v>
      </c>
    </row>
    <row r="16" spans="2:9" x14ac:dyDescent="0.25">
      <c r="B16" s="3"/>
      <c r="C16" s="2"/>
      <c r="D16" s="16"/>
      <c r="E16" s="17"/>
      <c r="F16" s="18"/>
      <c r="G16" s="17"/>
      <c r="H16" s="17"/>
      <c r="I16" s="17"/>
    </row>
    <row r="22" spans="3:4" x14ac:dyDescent="0.25">
      <c r="C22" s="13" t="s">
        <v>0</v>
      </c>
      <c r="D22" s="13" t="s">
        <v>1</v>
      </c>
    </row>
    <row r="23" spans="3:4" x14ac:dyDescent="0.25">
      <c r="C23" s="2">
        <v>0</v>
      </c>
      <c r="D23" s="2">
        <v>0</v>
      </c>
    </row>
    <row r="24" spans="3:4" x14ac:dyDescent="0.25">
      <c r="C24" s="2">
        <f>Wing!C17</f>
        <v>600</v>
      </c>
      <c r="D24" s="2">
        <f>E14</f>
        <v>3.49</v>
      </c>
    </row>
    <row r="25" spans="3:4" x14ac:dyDescent="0.25">
      <c r="C25" s="2">
        <f>IF(Wing!C17=0,C24,Wing!C17+Wing!F17)</f>
        <v>680</v>
      </c>
      <c r="D25" s="2">
        <f>IF(G15=0,D24,G13)</f>
        <v>10.47</v>
      </c>
    </row>
    <row r="26" spans="3:4" x14ac:dyDescent="0.25">
      <c r="C26" s="2">
        <f>IF(Wing!H17=0,C25,Wing!C17+Wing!F17+Wing!H17)</f>
        <v>755</v>
      </c>
      <c r="D26" s="2">
        <f>IF(H15=0,D25,H12)</f>
        <v>20.92</v>
      </c>
    </row>
    <row r="27" spans="3:4" x14ac:dyDescent="0.25">
      <c r="C27" s="2">
        <f>IF(Wing!J17=0,C26,Wing!C17+Wing!F17+Wing!H17+Wing!J17)</f>
        <v>755</v>
      </c>
      <c r="D27" s="2">
        <f>IF(I15=0,D26,I11)</f>
        <v>20.92</v>
      </c>
    </row>
    <row r="38" spans="2:9" ht="18" x14ac:dyDescent="0.25">
      <c r="B38" s="199" t="s">
        <v>212</v>
      </c>
      <c r="C38" s="166"/>
      <c r="D38" s="247" t="s">
        <v>391</v>
      </c>
    </row>
    <row r="39" spans="2:9" ht="15.75" x14ac:dyDescent="0.25">
      <c r="B39" s="199"/>
      <c r="C39" s="204" t="s">
        <v>207</v>
      </c>
      <c r="D39" s="205"/>
      <c r="E39" s="204" t="s">
        <v>208</v>
      </c>
      <c r="F39" s="206"/>
      <c r="G39" s="204" t="s">
        <v>209</v>
      </c>
      <c r="H39" s="206"/>
      <c r="I39" s="204" t="s">
        <v>210</v>
      </c>
    </row>
    <row r="40" spans="2:9" x14ac:dyDescent="0.25">
      <c r="B40" s="166" t="s">
        <v>386</v>
      </c>
      <c r="C40" s="207">
        <v>100</v>
      </c>
      <c r="D40" s="166"/>
      <c r="E40" s="207">
        <v>100</v>
      </c>
      <c r="G40" s="207">
        <v>100</v>
      </c>
      <c r="I40" s="207">
        <v>100</v>
      </c>
    </row>
    <row r="41" spans="2:9" x14ac:dyDescent="0.25">
      <c r="B41" s="208" t="s">
        <v>387</v>
      </c>
      <c r="C41" s="209">
        <v>2</v>
      </c>
      <c r="D41" s="166"/>
      <c r="E41" s="209">
        <v>4</v>
      </c>
      <c r="G41" s="209">
        <v>6</v>
      </c>
      <c r="I41" s="209">
        <v>8</v>
      </c>
    </row>
    <row r="42" spans="2:9" x14ac:dyDescent="0.25">
      <c r="B42" s="166" t="s">
        <v>388</v>
      </c>
      <c r="C42" s="188">
        <f>SIN(RADIANS(C41))*C40</f>
        <v>3.4899496702500969</v>
      </c>
      <c r="D42" s="166"/>
      <c r="E42" s="188">
        <f>SIN(RADIANS(E41))*E40+C42</f>
        <v>10.465597044662626</v>
      </c>
      <c r="G42" s="188">
        <f>SIN(RADIANS(G41))*G40+(E42)</f>
        <v>20.918443371427973</v>
      </c>
      <c r="I42" s="188">
        <f>SIN(RADIANS(I41))*I40+G42</f>
        <v>34.835753467434515</v>
      </c>
    </row>
    <row r="43" spans="2:9" x14ac:dyDescent="0.25">
      <c r="B43" s="246" t="s">
        <v>389</v>
      </c>
    </row>
    <row r="44" spans="2:9" x14ac:dyDescent="0.25">
      <c r="B44" s="246" t="s">
        <v>390</v>
      </c>
    </row>
  </sheetData>
  <phoneticPr fontId="31" type="noConversion"/>
  <printOptions horizontalCentered="1"/>
  <pageMargins left="0.75" right="0.75" top="1" bottom="1" header="0.5" footer="0.5"/>
  <pageSetup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28"/>
  <sheetViews>
    <sheetView showGridLines="0" topLeftCell="B7" zoomScaleNormal="100" workbookViewId="0">
      <selection activeCell="C7" sqref="C7"/>
    </sheetView>
  </sheetViews>
  <sheetFormatPr defaultColWidth="8" defaultRowHeight="12.75" x14ac:dyDescent="0.25"/>
  <cols>
    <col min="1" max="1" width="3.125" style="132" customWidth="1"/>
    <col min="2" max="2" width="18" style="132" customWidth="1"/>
    <col min="3" max="3" width="13.125" style="133" customWidth="1"/>
    <col min="4" max="4" width="31.5" style="133" customWidth="1"/>
    <col min="5" max="5" width="35.625" style="133" customWidth="1"/>
    <col min="6" max="6" width="42.75" style="133" customWidth="1"/>
    <col min="7" max="7" width="6.125" style="184" customWidth="1"/>
    <col min="8" max="8" width="5.125" style="135" customWidth="1"/>
    <col min="9" max="9" width="20.25" style="132" bestFit="1" customWidth="1"/>
    <col min="10" max="10" width="14.375" style="132" bestFit="1" customWidth="1"/>
    <col min="11" max="11" width="5.25" style="132" bestFit="1" customWidth="1"/>
    <col min="12" max="12" width="7.25" style="132" bestFit="1" customWidth="1"/>
    <col min="13" max="13" width="9.125" style="132" customWidth="1"/>
    <col min="14" max="14" width="8.875" style="132" bestFit="1" customWidth="1"/>
    <col min="15" max="16384" width="8" style="132"/>
  </cols>
  <sheetData>
    <row r="2" spans="2:11" ht="23.25" x14ac:dyDescent="0.25">
      <c r="F2" s="134"/>
      <c r="G2" s="179"/>
    </row>
    <row r="3" spans="2:11" ht="23.25" x14ac:dyDescent="0.25">
      <c r="F3" s="134"/>
      <c r="G3" s="179"/>
    </row>
    <row r="4" spans="2:11" ht="16.5" customHeight="1" x14ac:dyDescent="0.25">
      <c r="F4" s="134"/>
      <c r="G4" s="179"/>
    </row>
    <row r="5" spans="2:11" s="146" customFormat="1" ht="45.75" thickBot="1" x14ac:dyDescent="0.3">
      <c r="B5" s="144" t="s">
        <v>52</v>
      </c>
      <c r="C5" s="144" t="s">
        <v>392</v>
      </c>
      <c r="D5" s="144" t="s">
        <v>393</v>
      </c>
      <c r="E5" s="145" t="s">
        <v>394</v>
      </c>
      <c r="F5" s="145" t="s">
        <v>395</v>
      </c>
      <c r="G5" s="180"/>
      <c r="H5" s="147"/>
    </row>
    <row r="6" spans="2:11" ht="51.6" customHeight="1" thickTop="1" x14ac:dyDescent="0.25">
      <c r="B6" s="55" t="s">
        <v>160</v>
      </c>
      <c r="C6" s="43">
        <v>0.6</v>
      </c>
      <c r="D6" s="51" t="s">
        <v>396</v>
      </c>
      <c r="E6" s="51" t="s">
        <v>397</v>
      </c>
      <c r="F6" s="136"/>
      <c r="G6" s="181"/>
      <c r="I6" s="133"/>
    </row>
    <row r="7" spans="2:11" ht="216.75" x14ac:dyDescent="0.25">
      <c r="B7" s="54" t="s">
        <v>398</v>
      </c>
      <c r="C7" s="31">
        <f>(C11)*((Wing!B25+'Vertical Stabilizer'!D41+(Wing!B14-Wing!C43))/(Wing!C35))/(C6)</f>
        <v>1.2042875602648282</v>
      </c>
      <c r="D7" s="50" t="s">
        <v>399</v>
      </c>
      <c r="E7" s="50" t="s">
        <v>400</v>
      </c>
      <c r="F7" s="50" t="s">
        <v>401</v>
      </c>
      <c r="G7" s="181"/>
      <c r="H7" s="137"/>
      <c r="I7" s="133"/>
      <c r="J7" s="138"/>
    </row>
    <row r="8" spans="2:11" ht="153" x14ac:dyDescent="0.25">
      <c r="B8" s="54" t="s">
        <v>402</v>
      </c>
      <c r="C8" s="32">
        <f>('Horizontal Stabilizer'!D24/Wing!C48)*((Wing!B21+'Horizontal Stabilizer'!D35)+(0.75*(Wing!C49+Wing!C42)))/Wing!C49</f>
        <v>0.60928613539723397</v>
      </c>
      <c r="D8" s="50" t="s">
        <v>403</v>
      </c>
      <c r="E8" s="50" t="s">
        <v>404</v>
      </c>
      <c r="F8" s="50" t="s">
        <v>405</v>
      </c>
      <c r="G8" s="181"/>
      <c r="H8" s="137"/>
      <c r="I8" s="138"/>
    </row>
    <row r="9" spans="2:11" ht="178.5" x14ac:dyDescent="0.25">
      <c r="B9" s="54" t="s">
        <v>406</v>
      </c>
      <c r="C9" s="39">
        <f>('Vertical Stabilizer'!D35/Wing!C48)*(((Wing!B25+'Vertical Stabilizer'!D41)+(0.75*(Wing!C49+Wing!C42)))/Wing!C47)</f>
        <v>4.7651981199459223E-2</v>
      </c>
      <c r="D9" s="50" t="s">
        <v>133</v>
      </c>
      <c r="E9" s="50" t="s">
        <v>407</v>
      </c>
      <c r="F9" s="50" t="s">
        <v>408</v>
      </c>
      <c r="G9" s="181"/>
      <c r="H9" s="137"/>
      <c r="I9" s="133"/>
    </row>
    <row r="10" spans="2:11" ht="127.5" x14ac:dyDescent="0.25">
      <c r="B10" s="54" t="s">
        <v>409</v>
      </c>
      <c r="C10" s="148">
        <f>C9*C7</f>
        <v>5.7386688180482211E-2</v>
      </c>
      <c r="D10" s="50" t="s">
        <v>410</v>
      </c>
      <c r="E10" s="56" t="s">
        <v>411</v>
      </c>
      <c r="F10" s="50" t="s">
        <v>412</v>
      </c>
      <c r="G10" s="181"/>
      <c r="H10" s="137"/>
      <c r="I10" s="133"/>
    </row>
    <row r="11" spans="2:11" ht="63.75" x14ac:dyDescent="0.25">
      <c r="B11" s="54" t="s">
        <v>135</v>
      </c>
      <c r="C11" s="31">
        <f>((C24-C25)*('Wing Dihedral'!E15)+((C25-C26)*('Wing Dihedral'!G15)+((C26-C27)*('Wing Dihedral'!H15)+((C27-C28)*('Wing Dihedral'!I15)))))</f>
        <v>1.6246282363478644</v>
      </c>
      <c r="D11" s="50" t="s">
        <v>134</v>
      </c>
      <c r="E11" s="118" t="s">
        <v>132</v>
      </c>
      <c r="F11" s="50" t="s">
        <v>413</v>
      </c>
      <c r="G11" s="181"/>
      <c r="H11" s="137"/>
      <c r="I11" s="133"/>
    </row>
    <row r="12" spans="2:11" x14ac:dyDescent="0.25">
      <c r="B12" s="33"/>
      <c r="C12" s="34"/>
      <c r="D12" s="34"/>
      <c r="E12" s="34"/>
      <c r="F12" s="35"/>
      <c r="G12" s="182"/>
      <c r="H12" s="36"/>
      <c r="I12" s="30"/>
      <c r="J12" s="137"/>
      <c r="K12" s="133"/>
    </row>
    <row r="13" spans="2:11" x14ac:dyDescent="0.25">
      <c r="B13" s="33"/>
      <c r="C13" s="34"/>
      <c r="D13" s="34"/>
      <c r="E13" s="34"/>
      <c r="F13" s="35"/>
      <c r="G13" s="182"/>
      <c r="H13" s="36"/>
      <c r="I13" s="30"/>
      <c r="J13" s="137"/>
      <c r="K13" s="133"/>
    </row>
    <row r="14" spans="2:11" x14ac:dyDescent="0.25">
      <c r="B14" s="33"/>
      <c r="C14" s="34"/>
      <c r="D14" s="34"/>
      <c r="E14" s="34"/>
      <c r="F14" s="35"/>
      <c r="G14" s="182"/>
      <c r="H14" s="36"/>
      <c r="I14" s="30"/>
      <c r="J14" s="137"/>
      <c r="K14" s="133"/>
    </row>
    <row r="15" spans="2:11" ht="14.25" x14ac:dyDescent="0.25">
      <c r="B15" s="225" t="s">
        <v>314</v>
      </c>
      <c r="C15" s="37"/>
      <c r="D15" s="37"/>
      <c r="E15" s="37"/>
      <c r="F15" s="36"/>
      <c r="G15" s="182"/>
      <c r="H15" s="36"/>
      <c r="I15" s="30"/>
      <c r="J15" s="137"/>
      <c r="K15" s="133"/>
    </row>
    <row r="16" spans="2:11" ht="14.25" x14ac:dyDescent="0.25">
      <c r="B16" s="77" t="s">
        <v>32</v>
      </c>
      <c r="E16" s="225"/>
      <c r="G16" s="183"/>
      <c r="H16" s="137"/>
      <c r="I16" s="135"/>
      <c r="J16" s="135"/>
      <c r="K16" s="133"/>
    </row>
    <row r="17" spans="2:11" x14ac:dyDescent="0.25">
      <c r="B17" s="185" t="s">
        <v>170</v>
      </c>
      <c r="G17" s="183"/>
      <c r="H17" s="137"/>
      <c r="I17" s="135"/>
      <c r="J17" s="135"/>
      <c r="K17" s="133"/>
    </row>
    <row r="18" spans="2:11" x14ac:dyDescent="0.25">
      <c r="B18" s="133" t="s">
        <v>15</v>
      </c>
      <c r="C18" s="138">
        <f>0/(Wing!C17+Wing!F17+Wing!H17+Wing!J17)</f>
        <v>0</v>
      </c>
      <c r="D18" s="139"/>
      <c r="E18" s="139"/>
      <c r="F18" s="140"/>
      <c r="H18" s="137"/>
      <c r="I18" s="135"/>
      <c r="J18" s="135"/>
    </row>
    <row r="19" spans="2:11" x14ac:dyDescent="0.25">
      <c r="B19" s="133" t="s">
        <v>16</v>
      </c>
      <c r="C19" s="138">
        <f>IF(Wing!C17=0,"0",(Wing!C17/(Wing!C17+Wing!F17+Wing!H17+Wing!J17)))</f>
        <v>0.79470198675496684</v>
      </c>
      <c r="D19" s="132"/>
      <c r="E19" s="132"/>
      <c r="F19" s="132"/>
      <c r="G19" s="183"/>
      <c r="H19" s="137"/>
    </row>
    <row r="20" spans="2:11" x14ac:dyDescent="0.25">
      <c r="B20" s="133" t="s">
        <v>17</v>
      </c>
      <c r="C20" s="138">
        <f>IF(Wing!F17=0,"0",(Wing!C17+Wing!F17)/(Wing!C17+Wing!F17+Wing!H17+Wing!J17))</f>
        <v>0.90066225165562919</v>
      </c>
      <c r="D20" s="139"/>
      <c r="E20" s="139"/>
      <c r="F20" s="140"/>
      <c r="G20" s="183"/>
      <c r="H20" s="137"/>
    </row>
    <row r="21" spans="2:11" x14ac:dyDescent="0.25">
      <c r="B21" s="133" t="s">
        <v>18</v>
      </c>
      <c r="C21" s="138">
        <f>IF(Wing!H17=0,"0",((Wing!C17+Wing!F17+Wing!H17)/(Wing!C17+Wing!F17+Wing!H17+Wing!J17)))</f>
        <v>1</v>
      </c>
      <c r="D21" s="139"/>
      <c r="E21" s="139"/>
      <c r="F21" s="140"/>
      <c r="G21" s="183"/>
      <c r="H21" s="137"/>
    </row>
    <row r="22" spans="2:11" x14ac:dyDescent="0.25">
      <c r="B22" s="133" t="s">
        <v>108</v>
      </c>
      <c r="C22" s="138" t="str">
        <f>IF(Wing!J17=0,"0",((Wing!C17+Wing!F17+Wing!H17+Wing!J17)/(Wing!C17+Wing!F17+Wing!H17+Wing!J17)))</f>
        <v>0</v>
      </c>
      <c r="D22" s="139"/>
      <c r="E22" s="139"/>
      <c r="F22" s="140"/>
      <c r="G22" s="183"/>
      <c r="H22" s="137"/>
    </row>
    <row r="23" spans="2:11" x14ac:dyDescent="0.25">
      <c r="B23" s="133"/>
      <c r="D23" s="140"/>
      <c r="E23" s="140"/>
      <c r="F23" s="140"/>
    </row>
    <row r="24" spans="2:11" x14ac:dyDescent="0.25">
      <c r="B24" s="133" t="s">
        <v>19</v>
      </c>
      <c r="C24" s="178">
        <f>(1-C18^2)^1.5</f>
        <v>1</v>
      </c>
      <c r="D24" s="141"/>
      <c r="E24" s="141"/>
      <c r="F24" s="140"/>
    </row>
    <row r="25" spans="2:11" x14ac:dyDescent="0.25">
      <c r="B25" s="133" t="s">
        <v>20</v>
      </c>
      <c r="C25" s="178">
        <f>(1-C19^2)^1.5</f>
        <v>0.22364831742157659</v>
      </c>
      <c r="D25" s="138"/>
      <c r="E25" s="138"/>
    </row>
    <row r="26" spans="2:11" x14ac:dyDescent="0.25">
      <c r="B26" s="133" t="s">
        <v>21</v>
      </c>
      <c r="C26" s="178">
        <f>(1-C20^2)^1.5</f>
        <v>8.2040612072034516E-2</v>
      </c>
      <c r="D26" s="138"/>
      <c r="E26" s="138"/>
    </row>
    <row r="27" spans="2:11" x14ac:dyDescent="0.25">
      <c r="B27" s="133" t="s">
        <v>22</v>
      </c>
      <c r="C27" s="178">
        <f>(1-C21^2)^1.5</f>
        <v>0</v>
      </c>
      <c r="D27" s="138"/>
      <c r="E27" s="138"/>
    </row>
    <row r="28" spans="2:11" x14ac:dyDescent="0.25">
      <c r="B28" s="133" t="s">
        <v>107</v>
      </c>
      <c r="C28" s="178">
        <f>(1-C22^2)^1.5</f>
        <v>1</v>
      </c>
    </row>
  </sheetData>
  <phoneticPr fontId="1" type="noConversion"/>
  <printOptions horizontalCentered="1"/>
  <pageMargins left="0.5" right="0.5" top="0.5" bottom="0.5" header="0.25" footer="0.26"/>
  <pageSetup scale="85" orientation="landscape" horizontalDpi="4294967294" verticalDpi="4294967294"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6:F57"/>
  <sheetViews>
    <sheetView showGridLines="0" view="pageBreakPreview" topLeftCell="A32" zoomScale="60" zoomScaleNormal="100" workbookViewId="0">
      <selection activeCell="E56" sqref="E56"/>
    </sheetView>
  </sheetViews>
  <sheetFormatPr defaultColWidth="8" defaultRowHeight="12.75" x14ac:dyDescent="0.25"/>
  <cols>
    <col min="1" max="1" width="3.375" style="119" customWidth="1"/>
    <col min="2" max="2" width="55.875" style="119" customWidth="1"/>
    <col min="3" max="3" width="8" style="121" customWidth="1"/>
    <col min="4" max="4" width="27.125" style="119" customWidth="1"/>
    <col min="5" max="5" width="15" style="121" customWidth="1"/>
    <col min="6" max="6" width="22.875" style="119" bestFit="1" customWidth="1"/>
    <col min="7" max="16384" width="8" style="119"/>
  </cols>
  <sheetData>
    <row r="6" spans="2:6" ht="15.75" x14ac:dyDescent="0.25">
      <c r="C6" s="191" t="s">
        <v>187</v>
      </c>
      <c r="E6" s="191" t="s">
        <v>188</v>
      </c>
    </row>
    <row r="7" spans="2:6" ht="15.75" x14ac:dyDescent="0.25">
      <c r="B7" s="274" t="s">
        <v>294</v>
      </c>
      <c r="C7" s="275"/>
      <c r="D7" s="155"/>
    </row>
    <row r="8" spans="2:6" x14ac:dyDescent="0.25">
      <c r="B8" s="157" t="s">
        <v>282</v>
      </c>
      <c r="C8" s="130">
        <f>Wing!C35</f>
        <v>1510</v>
      </c>
      <c r="D8" s="156" t="s">
        <v>171</v>
      </c>
      <c r="E8" s="127">
        <f>C8*0.03936996</f>
        <v>59.448639600000007</v>
      </c>
      <c r="F8" s="119" t="s">
        <v>181</v>
      </c>
    </row>
    <row r="9" spans="2:6" ht="14.25" x14ac:dyDescent="0.25">
      <c r="B9" s="157" t="s">
        <v>283</v>
      </c>
      <c r="C9" s="130">
        <f>Wing!C36</f>
        <v>24.837499999999999</v>
      </c>
      <c r="D9" s="72" t="s">
        <v>174</v>
      </c>
      <c r="E9" s="127">
        <f>C9*1550.003/100</f>
        <v>384.98199512499997</v>
      </c>
      <c r="F9" s="119" t="s">
        <v>185</v>
      </c>
    </row>
    <row r="10" spans="2:6" ht="14.25" x14ac:dyDescent="0.25">
      <c r="B10" s="157" t="s">
        <v>284</v>
      </c>
      <c r="C10" s="130">
        <f>Wing!C37</f>
        <v>36.235530951182689</v>
      </c>
      <c r="D10" s="72" t="s">
        <v>175</v>
      </c>
      <c r="E10" s="127">
        <f>C10*0.327868852459</f>
        <v>11.880501951206845</v>
      </c>
      <c r="F10" s="119" t="s">
        <v>186</v>
      </c>
    </row>
    <row r="11" spans="2:6" x14ac:dyDescent="0.25">
      <c r="B11" s="157" t="s">
        <v>285</v>
      </c>
      <c r="C11" s="130">
        <f>Wing!C38</f>
        <v>164.48675496688742</v>
      </c>
      <c r="D11" s="157" t="s">
        <v>171</v>
      </c>
      <c r="E11" s="127">
        <f>C11*0.03936996</f>
        <v>6.4758369635761595</v>
      </c>
      <c r="F11" s="119" t="s">
        <v>181</v>
      </c>
    </row>
    <row r="12" spans="2:6" x14ac:dyDescent="0.25">
      <c r="B12" s="157" t="s">
        <v>286</v>
      </c>
      <c r="C12" s="130">
        <f>Wing!C39</f>
        <v>165.92551585304477</v>
      </c>
      <c r="D12" s="156" t="s">
        <v>171</v>
      </c>
      <c r="E12" s="127">
        <f>C12*0.03936996</f>
        <v>6.5324809221137388</v>
      </c>
      <c r="F12" s="119" t="s">
        <v>182</v>
      </c>
    </row>
    <row r="13" spans="2:6" x14ac:dyDescent="0.25">
      <c r="B13" s="157" t="s">
        <v>287</v>
      </c>
      <c r="C13" s="130">
        <f>Wing!C40</f>
        <v>9.18007045797685</v>
      </c>
      <c r="D13" s="156"/>
      <c r="E13" s="127">
        <f>C13</f>
        <v>9.18007045797685</v>
      </c>
    </row>
    <row r="14" spans="2:6" x14ac:dyDescent="0.25">
      <c r="B14" s="157" t="s">
        <v>288</v>
      </c>
      <c r="C14" s="130">
        <f>Wing!C41</f>
        <v>0.93513829372808721</v>
      </c>
      <c r="D14" s="156"/>
      <c r="E14" s="127">
        <f>C14</f>
        <v>0.93513829372808721</v>
      </c>
    </row>
    <row r="15" spans="2:6" x14ac:dyDescent="0.25">
      <c r="B15" s="157" t="s">
        <v>289</v>
      </c>
      <c r="C15" s="130">
        <f>Wing!C43</f>
        <v>41.98716658278812</v>
      </c>
      <c r="D15" s="156" t="s">
        <v>176</v>
      </c>
      <c r="E15" s="127">
        <f>C15*0.03936996</f>
        <v>1.6530330688777051</v>
      </c>
      <c r="F15" s="119" t="s">
        <v>183</v>
      </c>
    </row>
    <row r="16" spans="2:6" x14ac:dyDescent="0.25">
      <c r="B16" s="157" t="s">
        <v>290</v>
      </c>
      <c r="C16" s="130">
        <f>Wing!C47</f>
        <v>1507.9063616563562</v>
      </c>
      <c r="D16" s="157" t="s">
        <v>171</v>
      </c>
      <c r="E16" s="127">
        <f>C16*0.03936996</f>
        <v>59.366213142156283</v>
      </c>
      <c r="F16" s="119" t="s">
        <v>181</v>
      </c>
    </row>
    <row r="17" spans="2:6" ht="14.25" x14ac:dyDescent="0.25">
      <c r="B17" s="157" t="s">
        <v>291</v>
      </c>
      <c r="C17" s="130">
        <f>Wing!C48</f>
        <v>24.809315829863785</v>
      </c>
      <c r="D17" s="72" t="s">
        <v>174</v>
      </c>
      <c r="E17" s="127">
        <f>C17*1550.003/100</f>
        <v>384.54513964236355</v>
      </c>
      <c r="F17" s="119" t="s">
        <v>185</v>
      </c>
    </row>
    <row r="18" spans="2:6" ht="14.25" x14ac:dyDescent="0.25">
      <c r="B18" s="157" t="s">
        <v>292</v>
      </c>
      <c r="C18" s="130">
        <f>Wing!C50</f>
        <v>36.276695664321409</v>
      </c>
      <c r="D18" s="72" t="s">
        <v>175</v>
      </c>
      <c r="E18" s="127">
        <f>C18*0.327868852459</f>
        <v>11.893998578465441</v>
      </c>
      <c r="F18" s="119" t="s">
        <v>186</v>
      </c>
    </row>
    <row r="19" spans="2:6" x14ac:dyDescent="0.25">
      <c r="B19" s="157" t="s">
        <v>293</v>
      </c>
      <c r="C19" s="130">
        <f>Wing!C51</f>
        <v>9.165031438660975</v>
      </c>
      <c r="D19" s="156"/>
      <c r="E19" s="127">
        <f>C19</f>
        <v>9.165031438660975</v>
      </c>
    </row>
    <row r="21" spans="2:6" ht="15.75" x14ac:dyDescent="0.25">
      <c r="B21" s="120" t="s">
        <v>296</v>
      </c>
    </row>
    <row r="22" spans="2:6" x14ac:dyDescent="0.25">
      <c r="B22" s="156" t="s">
        <v>9</v>
      </c>
      <c r="C22" s="129">
        <f>'Horizontal Stabilizer'!D23</f>
        <v>460</v>
      </c>
      <c r="D22" s="156" t="s">
        <v>171</v>
      </c>
      <c r="E22" s="127">
        <f>C22*0.03936996</f>
        <v>18.110181600000001</v>
      </c>
      <c r="F22" s="119" t="s">
        <v>181</v>
      </c>
    </row>
    <row r="23" spans="2:6" ht="14.25" x14ac:dyDescent="0.25">
      <c r="B23" s="156" t="s">
        <v>10</v>
      </c>
      <c r="C23" s="130">
        <f>'Horizontal Stabilizer'!D24</f>
        <v>5.0599999999999996</v>
      </c>
      <c r="D23" s="72" t="s">
        <v>174</v>
      </c>
      <c r="E23" s="127">
        <f>C23*1550.003/100</f>
        <v>78.43015179999999</v>
      </c>
      <c r="F23" s="119" t="s">
        <v>185</v>
      </c>
    </row>
    <row r="24" spans="2:6" x14ac:dyDescent="0.25">
      <c r="B24" s="156" t="s">
        <v>12</v>
      </c>
      <c r="C24" s="130">
        <f>'Horizontal Stabilizer'!D25</f>
        <v>110</v>
      </c>
      <c r="D24" s="156" t="s">
        <v>171</v>
      </c>
      <c r="E24" s="127">
        <f>C24*0.03936996</f>
        <v>4.3306956000000003</v>
      </c>
      <c r="F24" s="119" t="s">
        <v>181</v>
      </c>
    </row>
    <row r="25" spans="2:6" x14ac:dyDescent="0.25">
      <c r="B25" s="195" t="s">
        <v>169</v>
      </c>
      <c r="C25" s="131">
        <f>'Horizontal Stabilizer'!D27</f>
        <v>4.1818181818181817</v>
      </c>
      <c r="D25" s="158"/>
      <c r="E25" s="127">
        <f>C25</f>
        <v>4.1818181818181817</v>
      </c>
    </row>
    <row r="26" spans="2:6" x14ac:dyDescent="0.25">
      <c r="B26" s="195" t="s">
        <v>189</v>
      </c>
      <c r="C26" s="131">
        <f>'Horizontal Stabilizer'!D28</f>
        <v>0.375</v>
      </c>
      <c r="D26" s="158"/>
      <c r="E26" s="127">
        <f>C26</f>
        <v>0.375</v>
      </c>
    </row>
    <row r="27" spans="2:6" x14ac:dyDescent="0.25">
      <c r="B27" s="195" t="s">
        <v>190</v>
      </c>
      <c r="C27" s="131">
        <f>'Horizontal Stabilizer'!D29</f>
        <v>20.372420734776046</v>
      </c>
      <c r="D27" s="196" t="s">
        <v>161</v>
      </c>
      <c r="E27" s="127">
        <f>C27</f>
        <v>20.372420734776046</v>
      </c>
      <c r="F27" s="119" t="s">
        <v>161</v>
      </c>
    </row>
    <row r="28" spans="2:6" ht="38.25" x14ac:dyDescent="0.25">
      <c r="B28" s="156" t="s">
        <v>14</v>
      </c>
      <c r="C28" s="130">
        <f>'Horizontal Stabilizer'!D35</f>
        <v>52.72727272727272</v>
      </c>
      <c r="D28" s="224" t="s">
        <v>420</v>
      </c>
      <c r="E28" s="127">
        <f>C28*0.03936996</f>
        <v>2.0758706181818178</v>
      </c>
      <c r="F28" s="121" t="s">
        <v>183</v>
      </c>
    </row>
    <row r="29" spans="2:6" x14ac:dyDescent="0.25">
      <c r="B29" s="156" t="s">
        <v>211</v>
      </c>
      <c r="C29" s="130">
        <f>(Wing!B14-Wing!C43)+Wing!B21+'Horizontal Stabilizer'!D35</f>
        <v>495.74010614448457</v>
      </c>
      <c r="D29" s="119" t="s">
        <v>171</v>
      </c>
      <c r="E29" s="127">
        <f>C29*0.03936996</f>
        <v>19.517268149304112</v>
      </c>
      <c r="F29" s="119" t="s">
        <v>181</v>
      </c>
    </row>
    <row r="30" spans="2:6" x14ac:dyDescent="0.25">
      <c r="B30" s="156"/>
      <c r="C30" s="122"/>
    </row>
    <row r="31" spans="2:6" ht="15.75" x14ac:dyDescent="0.25">
      <c r="B31" s="274" t="s">
        <v>295</v>
      </c>
      <c r="C31" s="274"/>
    </row>
    <row r="32" spans="2:6" x14ac:dyDescent="0.25">
      <c r="B32" s="157" t="s">
        <v>298</v>
      </c>
      <c r="C32" s="129">
        <f>'Vertical Stabilizer'!D34</f>
        <v>208.9</v>
      </c>
      <c r="D32" s="119" t="s">
        <v>171</v>
      </c>
      <c r="E32" s="127">
        <f>C32*0.03936996</f>
        <v>8.2243846440000006</v>
      </c>
      <c r="F32" s="119" t="s">
        <v>181</v>
      </c>
    </row>
    <row r="33" spans="2:6" ht="14.25" x14ac:dyDescent="0.25">
      <c r="B33" s="157" t="s">
        <v>283</v>
      </c>
      <c r="C33" s="130">
        <f>'Vertical Stabilizer'!D35</f>
        <v>2.6712500000000001</v>
      </c>
      <c r="D33" s="72" t="s">
        <v>174</v>
      </c>
      <c r="E33" s="127">
        <f>C33*1550.003/100</f>
        <v>41.404455137500001</v>
      </c>
      <c r="F33" s="119" t="s">
        <v>185</v>
      </c>
    </row>
    <row r="34" spans="2:6" x14ac:dyDescent="0.25">
      <c r="B34" s="157" t="s">
        <v>299</v>
      </c>
      <c r="C34" s="130">
        <f>'Vertical Stabilizer'!D36</f>
        <v>127.8721876495931</v>
      </c>
      <c r="D34" s="119" t="s">
        <v>171</v>
      </c>
      <c r="E34" s="127">
        <f>C34*0.03936996</f>
        <v>5.0343229128769744</v>
      </c>
      <c r="F34" s="119" t="s">
        <v>181</v>
      </c>
    </row>
    <row r="35" spans="2:6" x14ac:dyDescent="0.25">
      <c r="B35" s="157" t="s">
        <v>300</v>
      </c>
      <c r="C35" s="130">
        <f>'Vertical Stabilizer'!D38</f>
        <v>1.6336625175479647</v>
      </c>
      <c r="E35" s="127">
        <f>C35</f>
        <v>1.6336625175479647</v>
      </c>
    </row>
    <row r="36" spans="2:6" x14ac:dyDescent="0.25">
      <c r="B36" s="157" t="s">
        <v>301</v>
      </c>
      <c r="C36" s="130">
        <f>'Vertical Stabilizer'!D48</f>
        <v>0.30000000000000004</v>
      </c>
      <c r="E36" s="127">
        <f>C36</f>
        <v>0.30000000000000004</v>
      </c>
    </row>
    <row r="37" spans="2:6" x14ac:dyDescent="0.25">
      <c r="B37" s="157" t="s">
        <v>302</v>
      </c>
      <c r="C37" s="130">
        <f>'Vertical Stabilizer'!D56</f>
        <v>0.25</v>
      </c>
      <c r="E37" s="127">
        <f>C37</f>
        <v>0.25</v>
      </c>
    </row>
    <row r="38" spans="2:6" x14ac:dyDescent="0.25">
      <c r="B38" s="157" t="s">
        <v>297</v>
      </c>
      <c r="C38" s="130">
        <f>'Vertical Stabilizer'!D39</f>
        <v>10.754906894816308</v>
      </c>
      <c r="D38" s="119" t="s">
        <v>161</v>
      </c>
      <c r="E38" s="127">
        <f>C38</f>
        <v>10.754906894816308</v>
      </c>
      <c r="F38" s="119" t="s">
        <v>161</v>
      </c>
    </row>
    <row r="39" spans="2:6" ht="38.25" x14ac:dyDescent="0.25">
      <c r="B39" s="157" t="s">
        <v>303</v>
      </c>
      <c r="C39" s="130">
        <f>'Vertical Stabilizer'!D41</f>
        <v>73.577445016378107</v>
      </c>
      <c r="D39" s="224" t="s">
        <v>421</v>
      </c>
      <c r="E39" s="127">
        <f>C39*0.03936996</f>
        <v>2.8967410671970057</v>
      </c>
      <c r="F39" s="224" t="s">
        <v>183</v>
      </c>
    </row>
    <row r="40" spans="2:6" x14ac:dyDescent="0.25">
      <c r="B40" s="157" t="s">
        <v>304</v>
      </c>
      <c r="C40" s="127">
        <f>(Wing!B14-Wing!C43)+(Wing!B25)+('Vertical Stabilizer'!D41)</f>
        <v>671.5902784335899</v>
      </c>
      <c r="D40" s="119" t="s">
        <v>171</v>
      </c>
      <c r="E40" s="127">
        <f>C40*0.03936996</f>
        <v>26.4404823983193</v>
      </c>
      <c r="F40" s="119" t="s">
        <v>181</v>
      </c>
    </row>
    <row r="42" spans="2:6" ht="30.75" customHeight="1" x14ac:dyDescent="0.25">
      <c r="B42" s="120" t="s">
        <v>116</v>
      </c>
      <c r="D42" s="159" t="s">
        <v>31</v>
      </c>
    </row>
    <row r="43" spans="2:6" ht="25.5" x14ac:dyDescent="0.25">
      <c r="B43" s="160" t="s">
        <v>307</v>
      </c>
      <c r="C43" s="127">
        <f>'Tail Sizing Checks'!C7</f>
        <v>1.2042875602648282</v>
      </c>
      <c r="D43" s="161" t="s">
        <v>152</v>
      </c>
      <c r="E43" s="276" t="s">
        <v>419</v>
      </c>
      <c r="F43" s="276"/>
    </row>
    <row r="44" spans="2:6" ht="15.75" customHeight="1" x14ac:dyDescent="0.25"/>
    <row r="45" spans="2:6" ht="25.5" x14ac:dyDescent="0.25">
      <c r="B45" s="161" t="s">
        <v>305</v>
      </c>
      <c r="C45" s="127">
        <f>'Tail Sizing Checks'!C8</f>
        <v>0.60928613539723397</v>
      </c>
      <c r="D45" s="162" t="s">
        <v>35</v>
      </c>
    </row>
    <row r="46" spans="2:6" x14ac:dyDescent="0.25">
      <c r="B46" s="163"/>
      <c r="D46" s="162"/>
    </row>
    <row r="47" spans="2:6" ht="48" customHeight="1" x14ac:dyDescent="0.25">
      <c r="B47" s="161" t="s">
        <v>306</v>
      </c>
      <c r="C47" s="128">
        <f>'Tail Sizing Checks'!C9</f>
        <v>4.7651981199459223E-2</v>
      </c>
      <c r="D47" s="161" t="s">
        <v>151</v>
      </c>
      <c r="E47" s="276" t="s">
        <v>418</v>
      </c>
      <c r="F47" s="276"/>
    </row>
    <row r="48" spans="2:6" x14ac:dyDescent="0.25">
      <c r="B48" s="162"/>
      <c r="C48" s="123"/>
      <c r="D48" s="161"/>
    </row>
    <row r="49" spans="2:6" ht="34.5" customHeight="1" x14ac:dyDescent="0.25">
      <c r="B49" s="161" t="s">
        <v>308</v>
      </c>
      <c r="C49" s="128">
        <f>'Tail Sizing Checks'!C10</f>
        <v>5.7386688180482211E-2</v>
      </c>
      <c r="D49" s="161" t="s">
        <v>184</v>
      </c>
    </row>
    <row r="50" spans="2:6" x14ac:dyDescent="0.25">
      <c r="B50" s="162"/>
      <c r="D50" s="162"/>
    </row>
    <row r="51" spans="2:6" ht="32.25" customHeight="1" x14ac:dyDescent="0.25">
      <c r="B51" s="161" t="s">
        <v>309</v>
      </c>
      <c r="C51" s="127">
        <f>'Tail Sizing Checks'!C11</f>
        <v>1.6246282363478644</v>
      </c>
      <c r="D51" s="162" t="s">
        <v>153</v>
      </c>
      <c r="E51" s="276" t="s">
        <v>419</v>
      </c>
      <c r="F51" s="276"/>
    </row>
    <row r="52" spans="2:6" x14ac:dyDescent="0.25">
      <c r="E52" s="119"/>
    </row>
    <row r="53" spans="2:6" ht="15.75" x14ac:dyDescent="0.25">
      <c r="B53" s="124" t="s">
        <v>310</v>
      </c>
      <c r="E53" s="119"/>
    </row>
    <row r="54" spans="2:6" ht="38.25" x14ac:dyDescent="0.25">
      <c r="B54" s="119" t="s">
        <v>311</v>
      </c>
      <c r="C54" s="127">
        <f>'Balance Point'!D39</f>
        <v>71.815985564990626</v>
      </c>
      <c r="D54" s="224" t="s">
        <v>417</v>
      </c>
      <c r="E54" s="119"/>
    </row>
    <row r="55" spans="2:6" ht="20.45" customHeight="1" x14ac:dyDescent="0.25">
      <c r="B55" s="126" t="s">
        <v>422</v>
      </c>
      <c r="C55" s="125"/>
      <c r="E55" s="119"/>
    </row>
    <row r="56" spans="2:6" x14ac:dyDescent="0.25">
      <c r="B56" s="119" t="s">
        <v>312</v>
      </c>
      <c r="C56" s="127">
        <f>'Balance Point'!C40</f>
        <v>5</v>
      </c>
      <c r="D56" s="119" t="s">
        <v>161</v>
      </c>
      <c r="E56" s="119"/>
    </row>
    <row r="57" spans="2:6" ht="38.25" x14ac:dyDescent="0.25">
      <c r="B57" s="224" t="s">
        <v>313</v>
      </c>
      <c r="C57" s="127">
        <f>'Balance Point'!D40</f>
        <v>63.519709772338381</v>
      </c>
      <c r="D57" s="224" t="s">
        <v>416</v>
      </c>
      <c r="E57" s="119"/>
    </row>
  </sheetData>
  <mergeCells count="5">
    <mergeCell ref="B7:C7"/>
    <mergeCell ref="B31:C31"/>
    <mergeCell ref="E47:F47"/>
    <mergeCell ref="E51:F51"/>
    <mergeCell ref="E43:F43"/>
  </mergeCells>
  <phoneticPr fontId="1" type="noConversion"/>
  <pageMargins left="0.75" right="0.75" top="0.5" bottom="0.5" header="0.5" footer="0.5"/>
  <pageSetup scale="63"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33"/>
  <sheetViews>
    <sheetView showGridLines="0" topLeftCell="A26" workbookViewId="0">
      <selection activeCell="B2" sqref="B2:B6"/>
    </sheetView>
  </sheetViews>
  <sheetFormatPr defaultColWidth="84.375" defaultRowHeight="12.75" x14ac:dyDescent="0.25"/>
  <cols>
    <col min="1" max="1" width="84.375" style="149" customWidth="1"/>
    <col min="2" max="2" width="57.5" style="149" customWidth="1"/>
    <col min="3" max="3" width="15.625" style="149" customWidth="1"/>
    <col min="4" max="4" width="16.125" style="149" customWidth="1"/>
    <col min="5" max="5" width="17.125" style="149" customWidth="1"/>
    <col min="6" max="6" width="14.875" style="149" customWidth="1"/>
    <col min="7" max="7" width="11" style="149" customWidth="1"/>
    <col min="8" max="16384" width="84.375" style="149"/>
  </cols>
  <sheetData>
    <row r="2" spans="1:2" x14ac:dyDescent="0.25">
      <c r="B2" s="277" t="s">
        <v>271</v>
      </c>
    </row>
    <row r="3" spans="1:2" x14ac:dyDescent="0.25">
      <c r="B3" s="277"/>
    </row>
    <row r="4" spans="1:2" x14ac:dyDescent="0.25">
      <c r="B4" s="277"/>
    </row>
    <row r="5" spans="1:2" x14ac:dyDescent="0.25">
      <c r="B5" s="277"/>
    </row>
    <row r="6" spans="1:2" x14ac:dyDescent="0.25">
      <c r="B6" s="277"/>
    </row>
    <row r="8" spans="1:2" x14ac:dyDescent="0.25">
      <c r="A8" s="150" t="s">
        <v>85</v>
      </c>
      <c r="B8" s="216" t="s">
        <v>248</v>
      </c>
    </row>
    <row r="9" spans="1:2" ht="28.5" x14ac:dyDescent="0.25">
      <c r="A9" s="149" t="s">
        <v>119</v>
      </c>
      <c r="B9" s="214" t="s">
        <v>245</v>
      </c>
    </row>
    <row r="10" spans="1:2" ht="14.25" customHeight="1" x14ac:dyDescent="0.25">
      <c r="A10" s="152" t="s">
        <v>80</v>
      </c>
      <c r="B10" s="216" t="s">
        <v>246</v>
      </c>
    </row>
    <row r="11" spans="1:2" ht="14.25" x14ac:dyDescent="0.25">
      <c r="A11" s="153" t="s">
        <v>90</v>
      </c>
      <c r="B11" s="215" t="s">
        <v>247</v>
      </c>
    </row>
    <row r="12" spans="1:2" ht="14.25" x14ac:dyDescent="0.25">
      <c r="A12" s="150" t="s">
        <v>84</v>
      </c>
      <c r="B12" s="217" t="s">
        <v>251</v>
      </c>
    </row>
    <row r="13" spans="1:2" ht="12.75" customHeight="1" x14ac:dyDescent="0.25">
      <c r="A13" s="154" t="s">
        <v>89</v>
      </c>
      <c r="B13" s="215" t="s">
        <v>250</v>
      </c>
    </row>
    <row r="14" spans="1:2" ht="14.25" x14ac:dyDescent="0.25">
      <c r="A14" s="150" t="s">
        <v>83</v>
      </c>
      <c r="B14" s="217" t="s">
        <v>249</v>
      </c>
    </row>
    <row r="15" spans="1:2" ht="28.5" x14ac:dyDescent="0.25">
      <c r="A15" s="149" t="s">
        <v>88</v>
      </c>
      <c r="B15" s="214" t="s">
        <v>252</v>
      </c>
    </row>
    <row r="16" spans="1:2" x14ac:dyDescent="0.25">
      <c r="A16" s="150" t="s">
        <v>1</v>
      </c>
      <c r="B16" s="216" t="s">
        <v>253</v>
      </c>
    </row>
    <row r="17" spans="1:2" ht="14.25" x14ac:dyDescent="0.25">
      <c r="A17" s="149" t="s">
        <v>76</v>
      </c>
      <c r="B17" s="215" t="s">
        <v>254</v>
      </c>
    </row>
    <row r="18" spans="1:2" x14ac:dyDescent="0.25">
      <c r="A18" s="150" t="s">
        <v>30</v>
      </c>
      <c r="B18" s="216" t="s">
        <v>255</v>
      </c>
    </row>
    <row r="19" spans="1:2" ht="14.25" x14ac:dyDescent="0.25">
      <c r="A19" s="149" t="s">
        <v>94</v>
      </c>
      <c r="B19" s="214" t="s">
        <v>256</v>
      </c>
    </row>
    <row r="20" spans="1:2" ht="14.25" x14ac:dyDescent="0.25">
      <c r="A20" s="150" t="s">
        <v>82</v>
      </c>
      <c r="B20" s="217" t="s">
        <v>257</v>
      </c>
    </row>
    <row r="21" spans="1:2" ht="14.25" x14ac:dyDescent="0.25">
      <c r="A21" s="149" t="s">
        <v>77</v>
      </c>
      <c r="B21" s="218" t="s">
        <v>258</v>
      </c>
    </row>
    <row r="22" spans="1:2" ht="14.25" x14ac:dyDescent="0.25">
      <c r="A22" s="150" t="s">
        <v>87</v>
      </c>
      <c r="B22" s="219" t="s">
        <v>259</v>
      </c>
    </row>
    <row r="23" spans="1:2" ht="28.5" x14ac:dyDescent="0.25">
      <c r="A23" s="151" t="s">
        <v>154</v>
      </c>
      <c r="B23" s="214" t="s">
        <v>260</v>
      </c>
    </row>
    <row r="24" spans="1:2" x14ac:dyDescent="0.25">
      <c r="A24" s="152" t="s">
        <v>79</v>
      </c>
      <c r="B24" s="220" t="s">
        <v>261</v>
      </c>
    </row>
    <row r="25" spans="1:2" ht="42.75" x14ac:dyDescent="0.25">
      <c r="A25" s="153" t="s">
        <v>91</v>
      </c>
      <c r="B25" s="214" t="s">
        <v>262</v>
      </c>
    </row>
    <row r="26" spans="1:2" ht="14.25" x14ac:dyDescent="0.25">
      <c r="A26" s="150" t="s">
        <v>74</v>
      </c>
      <c r="B26" s="217" t="s">
        <v>263</v>
      </c>
    </row>
    <row r="27" spans="1:2" ht="14.25" x14ac:dyDescent="0.25">
      <c r="A27" s="149" t="s">
        <v>78</v>
      </c>
      <c r="B27" s="215" t="s">
        <v>264</v>
      </c>
    </row>
    <row r="28" spans="1:2" x14ac:dyDescent="0.25">
      <c r="A28" s="152" t="s">
        <v>0</v>
      </c>
      <c r="B28" s="221" t="s">
        <v>265</v>
      </c>
    </row>
    <row r="29" spans="1:2" ht="14.25" x14ac:dyDescent="0.25">
      <c r="A29" s="153" t="s">
        <v>81</v>
      </c>
      <c r="B29" s="215" t="s">
        <v>266</v>
      </c>
    </row>
    <row r="30" spans="1:2" ht="14.25" x14ac:dyDescent="0.25">
      <c r="A30" s="150" t="s">
        <v>86</v>
      </c>
      <c r="B30" s="217" t="s">
        <v>267</v>
      </c>
    </row>
    <row r="31" spans="1:2" ht="42.75" x14ac:dyDescent="0.25">
      <c r="A31" s="222" t="s">
        <v>92</v>
      </c>
      <c r="B31" s="214" t="s">
        <v>268</v>
      </c>
    </row>
    <row r="32" spans="1:2" ht="14.25" x14ac:dyDescent="0.25">
      <c r="A32" s="150" t="s">
        <v>75</v>
      </c>
      <c r="B32" s="217" t="s">
        <v>269</v>
      </c>
    </row>
    <row r="33" spans="1:2" ht="28.5" x14ac:dyDescent="0.25">
      <c r="A33" s="149" t="s">
        <v>93</v>
      </c>
      <c r="B33" s="214" t="s">
        <v>270</v>
      </c>
    </row>
  </sheetData>
  <mergeCells count="1">
    <mergeCell ref="B2:B6"/>
  </mergeCells>
  <phoneticPr fontId="0" type="noConversion"/>
  <pageMargins left="0.75" right="0.75" top="1" bottom="1" header="0.5" footer="0.5"/>
  <pageSetup orientation="portrait" horizontalDpi="4294967294" verticalDpi="429496729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3</vt:i4>
      </vt:variant>
    </vt:vector>
  </HeadingPairs>
  <TitlesOfParts>
    <vt:vector size="14" baseType="lpstr">
      <vt:lpstr>Instructions</vt:lpstr>
      <vt:lpstr>Wing</vt:lpstr>
      <vt:lpstr>Horizontal Stabilizer</vt:lpstr>
      <vt:lpstr>Vertical Stabilizer</vt:lpstr>
      <vt:lpstr>Balance Point</vt:lpstr>
      <vt:lpstr>Wing Dihedral</vt:lpstr>
      <vt:lpstr>Tail Sizing Checks</vt:lpstr>
      <vt:lpstr>Results</vt:lpstr>
      <vt:lpstr>Glossary</vt:lpstr>
      <vt:lpstr>Credits</vt:lpstr>
      <vt:lpstr>Links</vt:lpstr>
      <vt:lpstr>'Balance Point'!Obszar_wydruku</vt:lpstr>
      <vt:lpstr>'Tail Sizing Checks'!Obszar_wydruku</vt:lpstr>
      <vt:lpstr>Wing!Obszar_wydruku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Suter</dc:creator>
  <cp:lastModifiedBy>Rob Roy</cp:lastModifiedBy>
  <cp:lastPrinted>2024-09-20T21:06:44Z</cp:lastPrinted>
  <dcterms:created xsi:type="dcterms:W3CDTF">2004-12-22T19:40:07Z</dcterms:created>
  <dcterms:modified xsi:type="dcterms:W3CDTF">2025-09-27T21:50:28Z</dcterms:modified>
</cp:coreProperties>
</file>